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tables/table1.xml" ContentType="application/vnd.openxmlformats-officedocument.spreadsheetml.table+xml"/>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drawings/drawing3.xml" ContentType="application/vnd.openxmlformats-officedocument.drawing+xml"/>
  <Override PartName="/xl/customProperty17.bin" ContentType="application/vnd.openxmlformats-officedocument.spreadsheetml.customProperty"/>
  <Override PartName="/xl/customProperty18.bin" ContentType="application/vnd.openxmlformats-officedocument.spreadsheetml.customProperty"/>
  <Override PartName="/xl/drawings/drawing4.xml" ContentType="application/vnd.openxmlformats-officedocument.drawing+xml"/>
  <Override PartName="/xl/customProperty19.bin" ContentType="application/vnd.openxmlformats-officedocument.spreadsheetml.customProperty"/>
  <Override PartName="/xl/customProperty20.bin" ContentType="application/vnd.openxmlformats-officedocument.spreadsheetml.customProperty"/>
  <Override PartName="/xl/drawings/drawing5.xml" ContentType="application/vnd.openxmlformats-officedocument.drawing+xml"/>
  <Override PartName="/xl/customProperty21.bin" ContentType="application/vnd.openxmlformats-officedocument.spreadsheetml.customProperty"/>
  <Override PartName="/xl/customProperty22.bin" ContentType="application/vnd.openxmlformats-officedocument.spreadsheetml.customProperty"/>
  <Override PartName="/xl/drawings/drawing6.xml" ContentType="application/vnd.openxmlformats-officedocument.drawing+xml"/>
  <Override PartName="/xl/customProperty23.bin" ContentType="application/vnd.openxmlformats-officedocument.spreadsheetml.customProperty"/>
  <Override PartName="/xl/customProperty24.bin" ContentType="application/vnd.openxmlformats-officedocument.spreadsheetml.customProperty"/>
  <Override PartName="/xl/drawings/drawing7.xml" ContentType="application/vnd.openxmlformats-officedocument.drawing+xml"/>
  <Override PartName="/xl/customProperty25.bin" ContentType="application/vnd.openxmlformats-officedocument.spreadsheetml.customProperty"/>
  <Override PartName="/xl/customProperty26.bin" ContentType="application/vnd.openxmlformats-officedocument.spreadsheetml.customProperty"/>
  <Override PartName="/xl/drawings/drawing8.xml" ContentType="application/vnd.openxmlformats-officedocument.drawing+xml"/>
  <Override PartName="/xl/customProperty27.bin" ContentType="application/vnd.openxmlformats-officedocument.spreadsheetml.customProperty"/>
  <Override PartName="/xl/customProperty28.bin" ContentType="application/vnd.openxmlformats-officedocument.spreadsheetml.customProperty"/>
  <Override PartName="/xl/drawings/drawing9.xml" ContentType="application/vnd.openxmlformats-officedocument.drawing+xml"/>
  <Override PartName="/xl/customProperty29.bin" ContentType="application/vnd.openxmlformats-officedocument.spreadsheetml.customProperty"/>
  <Override PartName="/xl/customProperty30.bin" ContentType="application/vnd.openxmlformats-officedocument.spreadsheetml.customProperty"/>
  <Override PartName="/xl/drawings/drawing10.xml" ContentType="application/vnd.openxmlformats-officedocument.drawing+xml"/>
  <Override PartName="/xl/customProperty31.bin" ContentType="application/vnd.openxmlformats-officedocument.spreadsheetml.customProperty"/>
  <Override PartName="/xl/customProperty32.bin" ContentType="application/vnd.openxmlformats-officedocument.spreadsheetml.customProperty"/>
  <Override PartName="/xl/drawings/drawing11.xml" ContentType="application/vnd.openxmlformats-officedocument.drawing+xml"/>
  <Override PartName="/xl/customProperty33.bin" ContentType="application/vnd.openxmlformats-officedocument.spreadsheetml.customProperty"/>
  <Override PartName="/xl/customProperty34.bin" ContentType="application/vnd.openxmlformats-officedocument.spreadsheetml.customProperty"/>
  <Override PartName="/xl/drawings/drawing12.xml" ContentType="application/vnd.openxmlformats-officedocument.drawing+xml"/>
  <Override PartName="/xl/customProperty35.bin" ContentType="application/vnd.openxmlformats-officedocument.spreadsheetml.customProperty"/>
  <Override PartName="/xl/customProperty36.bin" ContentType="application/vnd.openxmlformats-officedocument.spreadsheetml.customProperty"/>
  <Override PartName="/xl/drawings/drawing13.xml" ContentType="application/vnd.openxmlformats-officedocument.drawing+xml"/>
  <Override PartName="/xl/customProperty37.bin" ContentType="application/vnd.openxmlformats-officedocument.spreadsheetml.customProperty"/>
  <Override PartName="/xl/customProperty38.bin" ContentType="application/vnd.openxmlformats-officedocument.spreadsheetml.customProperty"/>
  <Override PartName="/xl/drawings/drawing14.xml" ContentType="application/vnd.openxmlformats-officedocument.drawing+xml"/>
  <Override PartName="/xl/customProperty39.bin" ContentType="application/vnd.openxmlformats-officedocument.spreadsheetml.customProperty"/>
  <Override PartName="/xl/customProperty40.bin" ContentType="application/vnd.openxmlformats-officedocument.spreadsheetml.customProperty"/>
  <Override PartName="/xl/drawings/drawing15.xml" ContentType="application/vnd.openxmlformats-officedocument.drawing+xml"/>
  <Override PartName="/xl/customProperty41.bin" ContentType="application/vnd.openxmlformats-officedocument.spreadsheetml.customProperty"/>
  <Override PartName="/xl/customProperty42.bin" ContentType="application/vnd.openxmlformats-officedocument.spreadsheetml.customProperty"/>
  <Override PartName="/xl/drawings/drawing16.xml" ContentType="application/vnd.openxmlformats-officedocument.drawing+xml"/>
  <Override PartName="/xl/customProperty43.bin" ContentType="application/vnd.openxmlformats-officedocument.spreadsheetml.customProperty"/>
  <Override PartName="/xl/customProperty44.bin" ContentType="application/vnd.openxmlformats-officedocument.spreadsheetml.customProperty"/>
  <Override PartName="/xl/drawings/drawing17.xml" ContentType="application/vnd.openxmlformats-officedocument.drawing+xml"/>
  <Override PartName="/xl/customProperty45.bin" ContentType="application/vnd.openxmlformats-officedocument.spreadsheetml.customProperty"/>
  <Override PartName="/xl/customProperty46.bin" ContentType="application/vnd.openxmlformats-officedocument.spreadsheetml.customProperty"/>
  <Override PartName="/xl/drawings/drawing18.xml" ContentType="application/vnd.openxmlformats-officedocument.drawing+xml"/>
  <Override PartName="/xl/customProperty47.bin" ContentType="application/vnd.openxmlformats-officedocument.spreadsheetml.customProperty"/>
  <Override PartName="/xl/customProperty48.bin" ContentType="application/vnd.openxmlformats-officedocument.spreadsheetml.customProperty"/>
  <Override PartName="/xl/drawings/drawing19.xml" ContentType="application/vnd.openxmlformats-officedocument.drawing+xml"/>
  <Override PartName="/xl/customProperty49.bin" ContentType="application/vnd.openxmlformats-officedocument.spreadsheetml.customProperty"/>
  <Override PartName="/xl/customProperty50.bin" ContentType="application/vnd.openxmlformats-officedocument.spreadsheetml.customProperty"/>
  <Override PartName="/xl/drawings/drawing20.xml" ContentType="application/vnd.openxmlformats-officedocument.drawing+xml"/>
  <Override PartName="/xl/customProperty51.bin" ContentType="application/vnd.openxmlformats-officedocument.spreadsheetml.customProperty"/>
  <Override PartName="/xl/customProperty52.bin" ContentType="application/vnd.openxmlformats-officedocument.spreadsheetml.customProperty"/>
  <Override PartName="/xl/drawings/drawing21.xml" ContentType="application/vnd.openxmlformats-officedocument.drawing+xml"/>
  <Override PartName="/xl/customProperty53.bin" ContentType="application/vnd.openxmlformats-officedocument.spreadsheetml.customProperty"/>
  <Override PartName="/xl/customProperty5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workbookProtection workbookAlgorithmName="SHA-512" workbookHashValue="Hye5ZT7iNnPexd7i6hsM5rjWKMxjc/7XZmnreRjQXyqPFV0Gn/aofOuPgZTyJaAFr82fqbV3IEcKbHtruwzkDA==" workbookSaltValue="bXhuM8viHyt77dFoPzIYKQ==" workbookSpinCount="100000" lockStructure="1"/>
  <bookViews>
    <workbookView xWindow="-120" yWindow="-120" windowWidth="29040" windowHeight="15840" tabRatio="853" firstSheet="5" activeTab="7"/>
  </bookViews>
  <sheets>
    <sheet name="AER Sheet Heading" sheetId="47" state="hidden" r:id="rId1"/>
    <sheet name="AER CF" sheetId="42" state="hidden" r:id="rId2"/>
    <sheet name="AER NRs" sheetId="43" state="hidden" r:id="rId3"/>
    <sheet name="AER lookups" sheetId="44" state="hidden" r:id="rId4"/>
    <sheet name="AER ETL" sheetId="45" state="hidden" r:id="rId5"/>
    <sheet name="Instructions" sheetId="38" r:id="rId6"/>
    <sheet name="CONTENTS" sheetId="37" r:id="rId7"/>
    <sheet name="Business &amp; other details" sheetId="46" r:id="rId8"/>
    <sheet name="E1. Expenditure Summary" sheetId="15" r:id="rId9"/>
    <sheet name="E11. Labour" sheetId="27" r:id="rId10"/>
    <sheet name="E21. ARS" sheetId="31" r:id="rId11"/>
    <sheet name="N1. Demand" sheetId="24" r:id="rId12"/>
    <sheet name="N2. Network characteristics" sheetId="25" r:id="rId13"/>
    <sheet name="S1.1. Customer numbers" sheetId="26" r:id="rId14"/>
    <sheet name="S1.2. Customer numbers" sheetId="39" r:id="rId15"/>
    <sheet name="S10. Supply quality" sheetId="32" r:id="rId16"/>
    <sheet name="S11. Network reliability" sheetId="34" r:id="rId17"/>
    <sheet name="S14. Network integrity" sheetId="33" r:id="rId18"/>
    <sheet name="F1. Income" sheetId="5" r:id="rId19"/>
    <sheet name="F2. Capex" sheetId="1" r:id="rId20"/>
    <sheet name="F3. Revenue" sheetId="10" r:id="rId21"/>
    <sheet name="F4. Opex" sheetId="6" r:id="rId22"/>
    <sheet name="F6. Related party transactions" sheetId="11" r:id="rId23"/>
    <sheet name="F7. Provisions" sheetId="13" r:id="rId24"/>
    <sheet name="F9. Pass throughs" sheetId="14" r:id="rId25"/>
    <sheet name="F10. Assets" sheetId="48" r:id="rId26"/>
    <sheet name="Additional disclosures" sheetId="49" r:id="rId27"/>
  </sheets>
  <definedNames>
    <definedName name="_xlnm._FilterDatabase" localSheetId="3" hidden="1">'AER lookups'!$F$12:$F$18</definedName>
    <definedName name="abba" localSheetId="0" hidden="1">{"Ownership",#N/A,FALSE,"Ownership";"Contents",#N/A,FALSE,"Contents"}</definedName>
    <definedName name="abba" localSheetId="25" hidden="1">{"Ownership",#N/A,FALSE,"Ownership";"Contents",#N/A,FALSE,"Contents"}</definedName>
    <definedName name="abba" localSheetId="14" hidden="1">{"Ownership",#N/A,FALSE,"Ownership";"Contents",#N/A,FALSE,"Contents"}</definedName>
    <definedName name="abba" hidden="1">{"Ownership",#N/A,FALSE,"Ownership";"Contents",#N/A,FALSE,"Contents"}</definedName>
    <definedName name="anscount" hidden="1">1</definedName>
    <definedName name="ARR">'AER lookups'!$C$25</definedName>
    <definedName name="ARR_Fmt2">'AER lookups'!$D$25</definedName>
    <definedName name="CA">'AER lookups'!$C$26</definedName>
    <definedName name="CA_Fmt2">'AER lookups'!$D$26</definedName>
    <definedName name="Calendar">'AER lookups'!$C$39:$C$88</definedName>
    <definedName name="CESS">'AER lookups'!$C$27</definedName>
    <definedName name="CESS_Fmt2">'AER lookups'!$D$27</definedName>
    <definedName name="CPI">'AER lookups'!$C$28</definedName>
    <definedName name="CPI_Fmt2">'AER lookups'!$D$28</definedName>
    <definedName name="CRCP_final_year">'AER ETL'!$C$47</definedName>
    <definedName name="CRCP_start_year">'AER ETL'!$C$44</definedName>
    <definedName name="CRCP_y1">'AER lookups'!$G$39</definedName>
    <definedName name="CRCP_y10">'AER lookups'!$G$48</definedName>
    <definedName name="CRCP_y11">'AER lookups'!$G$49</definedName>
    <definedName name="CRCP_y12">'AER lookups'!$G$50</definedName>
    <definedName name="CRCP_y13">'AER lookups'!$G$51</definedName>
    <definedName name="CRCP_y14">'AER lookups'!$G$52</definedName>
    <definedName name="CRCP_y15">'AER lookups'!$G$53</definedName>
    <definedName name="CRCP_y16">'AER lookups'!$G$54</definedName>
    <definedName name="CRCP_y2">'AER lookups'!$G$40</definedName>
    <definedName name="CRCP_y3">'AER lookups'!$G$41</definedName>
    <definedName name="CRCP_y4">'AER lookups'!$G$42</definedName>
    <definedName name="CRCP_y5">'AER lookups'!$G$43</definedName>
    <definedName name="CRCP_y6">'AER lookups'!$G$44</definedName>
    <definedName name="CRCP_y7">'AER lookups'!$G$45</definedName>
    <definedName name="CRCP_y8">'AER lookups'!$G$46</definedName>
    <definedName name="CRCP_y9">'AER lookups'!$G$47</definedName>
    <definedName name="CRY">'Business &amp; other details'!$AL$54</definedName>
    <definedName name="dms_020303_01_UOM">'AER NRs'!$C$84:$C$90</definedName>
    <definedName name="dms_020501_01_UOM">'AER NRs'!$D$84:$D$96</definedName>
    <definedName name="dms_020501_02_UOM">'AER NRs'!$E$84:$E$92</definedName>
    <definedName name="dms_020501_03_UOM">'AER NRs'!$F$84:$F$93</definedName>
    <definedName name="dms_020501_04_UOM">'AER NRs'!$G$84:$G$92</definedName>
    <definedName name="dms_020603_01_UOM">'AER NRs'!$C$110:$C$114</definedName>
    <definedName name="dms_020701_01_Rows">'AER NRs'!$J$84:$J$89</definedName>
    <definedName name="dms_020701_01_UOM">'AER NRs'!$H$84:$H$89</definedName>
    <definedName name="dms_020701_02_UOM">'AER NRs'!$I$84:$I$89</definedName>
    <definedName name="dms_0306_Year">'AER ETL'!$C$86</definedName>
    <definedName name="dms_030601_01_UOM">'AER NRs'!$C$118:$C$121</definedName>
    <definedName name="dms_030601_02_UOM">'AER NRs'!$D$118:$D$121</definedName>
    <definedName name="dms_030605_UOM">'AER NRs'!$C$160:$C$173</definedName>
    <definedName name="dms_03060703_UOM">'AER NRs'!$D$160:$D$164</definedName>
    <definedName name="dms_030701_01_UOM">'AER NRs'!$E$118:$E$120</definedName>
    <definedName name="dms_030702_01_UOM">'AER NRs'!$F$118:$F$131</definedName>
    <definedName name="dms_030703_01_UOM">'AER NRs'!$G$118</definedName>
    <definedName name="dms_040102_01_UOM">'AER NRs'!$K$84:$K$87</definedName>
    <definedName name="dms_040102_04_UOM">'AER NRs'!$L$84:$L$87</definedName>
    <definedName name="dms_0502_Inst_Year">'AER ETL'!$C$65</definedName>
    <definedName name="dms_060101_Rows">'AER NRs'!$C$195</definedName>
    <definedName name="dms_060101_StartDateTxt">'AER NRs'!$E$195</definedName>
    <definedName name="dms_060101_StartDateVal">'AER ETL'!$C$107</definedName>
    <definedName name="dms_060102_Rows">'AER NRs'!$D$195</definedName>
    <definedName name="dms_0603_FeederList">'AER NRs'!$D$212:$H$212</definedName>
    <definedName name="dms_060301_Avg_Duration_Sustained_Int_Row">'AER NRs'!$D$191</definedName>
    <definedName name="dms_060301_checkvalue">'AER ETL'!$C$90</definedName>
    <definedName name="dms_060301_CustNo_Affected_Row">'AER NRs'!$C$191</definedName>
    <definedName name="dms_060301_Effect_unplanned_SAIDI_Row">'AER NRs'!$E$191</definedName>
    <definedName name="dms_060301_Effect_unplanned_SAIFI_Row">'AER NRs'!$F$191</definedName>
    <definedName name="dms_060301_LastRow">'AER ETL'!$C$92</definedName>
    <definedName name="dms_060301_MaxRows">'AER ETL'!$C$93</definedName>
    <definedName name="dms_060701_ARR_MaxRows">'AER ETL'!$C$100</definedName>
    <definedName name="dms_060701_Feeder_Header_Lvl4">'AER NRs'!$D$207:$O$207</definedName>
    <definedName name="dms_060701_MaxCols">'AER ETL'!$C$103</definedName>
    <definedName name="dms_060701_MaxRows">'AER ETL'!$C$101</definedName>
    <definedName name="dms_060701_OffsetRows">'AER ETL'!$C$104</definedName>
    <definedName name="dms_060701_Reset_MaxRows">'AER ETL'!$C$99</definedName>
    <definedName name="dms_060701_Rows">'AER NRs'!$D$209:$O$209</definedName>
    <definedName name="dms_060701_StartDateTxt">'AER ETL'!$C$106</definedName>
    <definedName name="dms_060701_StartDateVal">'AER ETL'!$C$107</definedName>
    <definedName name="dms_0608_LastRow">'AER ETL'!$C$112</definedName>
    <definedName name="dms_0608_OffsetRows">'AER ETL'!$C$111</definedName>
    <definedName name="dms_060801_01_Rows">'AER NRs'!$C$199</definedName>
    <definedName name="dms_060801_02_Rows">'AER NRs'!$D$199</definedName>
    <definedName name="dms_060801_03_Rows">'AER NRs'!$E$199</definedName>
    <definedName name="dms_060801_04_Rows">'AER NRs'!$F$199</definedName>
    <definedName name="dms_060801_MaxRows">'AER ETL'!$C$113</definedName>
    <definedName name="dms_070904_01_Rows">'AER NRs'!$D$202:$E$202</definedName>
    <definedName name="dms_070904_Start_Year">'AER ETL'!$C$116</definedName>
    <definedName name="dms_663">'AER ETL'!$C$94</definedName>
    <definedName name="dms_663_List">'AER lookups'!$N$13:$N$18</definedName>
    <definedName name="dms_ABN">'Business &amp; other details'!$AL$17</definedName>
    <definedName name="dms_ABN_List">'AER lookups'!$D$13:$D$18</definedName>
    <definedName name="dms_Addr1">'Business &amp; other details'!$AL$23</definedName>
    <definedName name="dms_Addr1_List">'AER lookups'!$P$13:$P$18</definedName>
    <definedName name="dms_Addr2">'Business &amp; other details'!$AL$24</definedName>
    <definedName name="dms_Addr2_List">'AER lookups'!$Q$13:$Q$18</definedName>
    <definedName name="dms_Amendment_Text">'Business &amp; other details'!$AL$70</definedName>
    <definedName name="dms_AmendmentReason">'AER ETL'!$C$15</definedName>
    <definedName name="dms_ARR">'AER ETL'!$C$74</definedName>
    <definedName name="dms_Beg">'AER NRs'!$C$176</definedName>
    <definedName name="dms_CA">'AER ETL'!$C$73</definedName>
    <definedName name="dms_Cal_Year_B4_CRY">'AER ETL'!$C$29</definedName>
    <definedName name="dms_CBD_flag">'AER lookups'!$Z$13:$Z$18</definedName>
    <definedName name="dms_CBD_flag_NSP">'AER ETL'!$C$121</definedName>
    <definedName name="dms_CF_3.6.1">'AER CF'!$F$7:$F$27</definedName>
    <definedName name="dms_CF_3.6.5">'AER CF'!$G$7:$G$27</definedName>
    <definedName name="dms_CF_3.6.6">'AER CF'!$H$7:$H$27</definedName>
    <definedName name="dms_CF_3.6.7.1">'AER CF'!$I$7:$I$27</definedName>
    <definedName name="dms_CF_3.6.7.2">'AER CF'!$J$7:$J$27</definedName>
    <definedName name="dms_CF_3.6.7.3">'AER CF'!$K$7:$K$27</definedName>
    <definedName name="dms_CF_3.6.7.4">'AER CF'!$L$7:$L$27</definedName>
    <definedName name="dms_CF_3.6.8">'AER CF'!$M$7:$M$27</definedName>
    <definedName name="dms_CF_4.1">'AER CF'!$N$7:$N$27</definedName>
    <definedName name="dms_CF_4.4.1">'AER CF'!$U$7:$U$27</definedName>
    <definedName name="dms_CF_6.6.1">'AER CF'!$O$7:$O$27</definedName>
    <definedName name="dms_CF_6.8">'AER CF'!$P$7:$P$27</definedName>
    <definedName name="dms_CF_7.12">'AER CF'!$Q$7:$Q$27</definedName>
    <definedName name="dms_CF_8.1_A">'AER CF'!$R$7:$R$27</definedName>
    <definedName name="dms_CF_8.1_B">'AER CF'!$S$7:$S$27</definedName>
    <definedName name="dms_CF_8.1_Neg">'AER CF'!$T$7:$T$27</definedName>
    <definedName name="dms_CF_MAIFI_flag">'AER CF'!$V$7:$V$27</definedName>
    <definedName name="dms_CF_TradingName">'AER CF'!$B$7:$B$27</definedName>
    <definedName name="dms_Classification">'AER ETL'!$C$25</definedName>
    <definedName name="dms_Confid_status_List">'AER NRs'!$D$6:$D$8</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start_row">'AER ETL'!$C$40</definedName>
    <definedName name="dms_CRCPlength_List">'AER lookups'!$K$13:$K$18</definedName>
    <definedName name="dms_CRCPlength_Num">'AER ETL'!$C$69</definedName>
    <definedName name="dms_CRY_RYE">'AER ETL'!$C$53</definedName>
    <definedName name="dms_CRY_start_row">'AER ETL'!$C$38</definedName>
    <definedName name="dms_CRY_start_year">'AER ETL'!$C$37</definedName>
    <definedName name="dms_DataQuality">'AER ETL'!$C$19</definedName>
    <definedName name="dms_DataQuality_List">'AER NRs'!$C$6:$C$9</definedName>
    <definedName name="dms_Defined_Names_Used">'AER ETL'!$C$3</definedName>
    <definedName name="dms_DeterminationRef">'AER ETL'!$C$119</definedName>
    <definedName name="dms_DeterminationRef_List">'AER lookups'!$O$13:$O$18</definedName>
    <definedName name="dms_DISCARD">'AER ETL'!$C$128</definedName>
    <definedName name="dms_DNSP_020301_ProjectTrigger">'AER NRs'!$E$32:$E$38</definedName>
    <definedName name="dms_DNSP_020301_ProjectType">'AER NRs'!$D$32:$D$35</definedName>
    <definedName name="dms_DNSP_020301_SubstationType">'AER NRs'!$C$32:$C$35</definedName>
    <definedName name="dms_DNSP_020302_ProjectTrigger">'AER NRs'!$G$32:$G$39</definedName>
    <definedName name="dms_DNSP_020302_ProjectType">'AER NRs'!$F$32:$F$44</definedName>
    <definedName name="dms_dollar_nom_UOM">'AER ETL'!$C$24</definedName>
    <definedName name="dms_DollarReal">'AER ETL'!$C$31</definedName>
    <definedName name="dms_DollarReal_Prev">'AER ETL'!$C$32</definedName>
    <definedName name="dms_DollarReal_year">'AER ETL'!$C$51</definedName>
    <definedName name="dms_DQ_1">'AER ETL'!$C$13</definedName>
    <definedName name="dms_DQ_2">'AER ETL'!$C$14</definedName>
    <definedName name="dms_E010101_CC_Rows">'E1. Expenditure Summary'!$B$21</definedName>
    <definedName name="dms_E010101_CC_Values">'E1. Expenditure Summary'!$C$21:$K$21</definedName>
    <definedName name="dms_E010101_Rows">'E1. Expenditure Summary'!$B$12:$B$20</definedName>
    <definedName name="dms_E010101_Values">'E1. Expenditure Summary'!$C$12:$K$20</definedName>
    <definedName name="dms_E010102_CC_Rows">'E1. Expenditure Summary'!$B$50</definedName>
    <definedName name="dms_E010102_CC_Values">'E1. Expenditure Summary'!$C$50:$K$50</definedName>
    <definedName name="dms_E010102_Rows">'E1. Expenditure Summary'!$B$25:$B$49</definedName>
    <definedName name="dms_E010102_Values">'E1. Expenditure Summary'!$C$25:$K$49</definedName>
    <definedName name="dms_E010201_Rows">'E1. Expenditure Summary'!$B$60:$B$67</definedName>
    <definedName name="dms_E010201_Values">'E1. Expenditure Summary'!$C$60:$K$67</definedName>
    <definedName name="dms_E010202_Rows">'E1. Expenditure Summary'!$B$71:$B$95</definedName>
    <definedName name="dms_E010202_Values">'E1. Expenditure Summary'!$C$71:$K$95</definedName>
    <definedName name="dms_E010301_Rows">'E1. Expenditure Summary'!$B$105:$B$113</definedName>
    <definedName name="dms_E010301_Values">'E1. Expenditure Summary'!$C$105:$K$113</definedName>
    <definedName name="dms_E010302_Rows">'E1. Expenditure Summary'!$B$121:$B$144</definedName>
    <definedName name="dms_E010302_Values">'E1. Expenditure Summary'!$C$121:$K$144</definedName>
    <definedName name="dms_E010401_CC_Rows">'E1. Expenditure Summary'!$B$160</definedName>
    <definedName name="dms_E010401_CC_Values">'E1. Expenditure Summary'!$C$160:$K$160</definedName>
    <definedName name="dms_E010401_Rows">'E1. Expenditure Summary'!$B$153:$B$159</definedName>
    <definedName name="dms_E010401_Values">'E1. Expenditure Summary'!$C$153:$K$159</definedName>
    <definedName name="dms_E010402_CC_Rows">'E1. Expenditure Summary'!$B$190</definedName>
    <definedName name="dms_E010402_CC_Values">'E1. Expenditure Summary'!$C$190:$K$190</definedName>
    <definedName name="dms_E010402_Rows">'E1. Expenditure Summary'!$B$168:$B$189</definedName>
    <definedName name="dms_E010402_Values">'E1. Expenditure Summary'!$C$168:$K$189</definedName>
    <definedName name="dms_E050102_UOM">'AER NRs'!$M$84:$M$86</definedName>
    <definedName name="dms_E1103_Rows">'E11. Labour'!$B$13:$B$16</definedName>
    <definedName name="dms_E110301_opex_Values">'E11. Labour'!$C$13:$K$16</definedName>
    <definedName name="dms_E110302_capex_Values">'E11. Labour'!$C$19:$K$22</definedName>
    <definedName name="dms_E2101_Rows">'E21. ARS'!$B$10:$B$15</definedName>
    <definedName name="dms_E2101_Values">'E21. ARS'!$C$10:$K$15</definedName>
    <definedName name="dms_E2103_Values">'E21. ARS'!$C$24:$K$30</definedName>
    <definedName name="dms_EB">'AER ETL'!$C$72</definedName>
    <definedName name="dms_EB_RAB_PIT">'AER NRs'!$C$152:$C$157</definedName>
    <definedName name="dms_End">'AER NRs'!$E$176</definedName>
    <definedName name="dms_F010101_Rows">'F1. Income'!$B$11:$B$14</definedName>
    <definedName name="dms_F010101_Values">'F1. Income'!$C$11:$K$14</definedName>
    <definedName name="dms_F010102_Rows">'F1. Income'!$B$18:$B$24</definedName>
    <definedName name="dms_F010102_Values">'F1. Income'!$C$18:$K$24</definedName>
    <definedName name="dms_F010103_Rows">'F1. Income'!$B$28:$B$30</definedName>
    <definedName name="dms_F010103_Values">'F1. Income'!$C$28:$K$30</definedName>
    <definedName name="dms_F010201_Values">'F1. Income'!$C$38:$K$41</definedName>
    <definedName name="dms_F010202_Values">'F1. Income'!$C$45:$K$51</definedName>
    <definedName name="dms_F010203_Values">'F1. Income'!$C$55:$K$57</definedName>
    <definedName name="dms_F010301_Values">'F1. Income'!$C$65:$K$68</definedName>
    <definedName name="dms_F010302_Values">'F1. Income'!$C$72:$K$78</definedName>
    <definedName name="dms_F010303_Values">'F1. Income'!$C$82:$K$84</definedName>
    <definedName name="dms_F0204_Rows">'F2. Capex'!$B$12:$B$41</definedName>
    <definedName name="dms_F020402_Values">'F2. Capex'!$C$12:$K$41</definedName>
    <definedName name="dms_F020403_Values">'F2. Capex'!$C$48:$K$77</definedName>
    <definedName name="dms_F0205_Rows">'F2. Capex'!$B$87:$B$116</definedName>
    <definedName name="dms_F020501_Values">'F2. Capex'!$C$87:$K$116</definedName>
    <definedName name="dms_F0206_Rows">'F2. Capex'!$B$126:$B$155</definedName>
    <definedName name="dms_F020601_Values">'F2. Capex'!$C$126:$K$155</definedName>
    <definedName name="dms_F0207_Rows">'F2. Capex'!$B$165:$B$194</definedName>
    <definedName name="dms_F020701_Values">'F2. Capex'!$C$165:$K$194</definedName>
    <definedName name="dms_F030101_Rows">'F3. Revenue'!$B$11:$B$85</definedName>
    <definedName name="dms_F030101_Values">'F3. Revenue'!$C$11:$K$85</definedName>
    <definedName name="dms_F0302_Rows">'F3. Revenue'!$B$93:$B$101</definedName>
    <definedName name="dms_F0302_Values">'F3. Revenue'!$C$93:$K$101</definedName>
    <definedName name="dms_F0303_Rows">'F3. Revenue'!$B$109:$B$114</definedName>
    <definedName name="dms_F0303_Values">'F3. Revenue'!$C$109:$K$114</definedName>
    <definedName name="dms_F0304_Rows">'F3. Revenue'!$B$122:$B$127</definedName>
    <definedName name="dms_F0304_Values">'F3. Revenue'!$C$122:$K$127</definedName>
    <definedName name="dms_F0305_Rows">'F3. Revenue'!$B$135</definedName>
    <definedName name="dms_F0305_Values">'F3. Revenue'!$C$135:$K$135</definedName>
    <definedName name="dms_F0306_Rows">'F3. Revenue'!$B$142:$B$145</definedName>
    <definedName name="dms_F0306_Values">'F3. Revenue'!$C$142:$K$145</definedName>
    <definedName name="dms_F0401_Rows">'F4. Opex'!$B$11:$B$18</definedName>
    <definedName name="dms_F040101_Values">'F4. Opex'!$C$11:$K$18</definedName>
    <definedName name="dms_F040102_Values">'F4. Opex'!$C$25:$K$32</definedName>
    <definedName name="dms_F040103_Values">'F4. Opex'!$C$39:$K$46</definedName>
    <definedName name="dms_F0601_Rows">'F6. Related party transactions'!$B$10:$B$16</definedName>
    <definedName name="dms_F060101_Values">'F6. Related party transactions'!$C$10:$K$16</definedName>
    <definedName name="dms_F060102_Values">'F6. Related party transactions'!$C$18:$K$24</definedName>
    <definedName name="dms_F0602_Rows">'F6. Related party transactions'!$B$32:$B$38</definedName>
    <definedName name="dms_F060201_Values">'F6. Related party transactions'!$C$32:$K$38</definedName>
    <definedName name="dms_F060202_Values">'F6. Related party transactions'!$C$40:$K$46</definedName>
    <definedName name="dms_F060301_Rows">'F6. Related party transactions'!$B$55:$B$63</definedName>
    <definedName name="dms_F060301_Values">'F6. Related party transactions'!$C$55:$K$63</definedName>
    <definedName name="dms_F060302_Rows">'F6. Related party transactions'!$B$71:$B$78</definedName>
    <definedName name="dms_F060302_Values">'F6. Related party transactions'!$C$71:$K$78</definedName>
    <definedName name="dms_F0604_Rows">'F6. Related party transactions'!$B$86:$B$94</definedName>
    <definedName name="dms_F0604_Values">'F6. Related party transactions'!$C$86:$K$94</definedName>
    <definedName name="dms_F0605_Rows">'F6. Related party transactions'!$B$100</definedName>
    <definedName name="dms_F0605_Values">'F6. Related party transactions'!$C$100:$K$100</definedName>
    <definedName name="dms_F100101_Rows">'F10. Assets'!$B$12:$B$17</definedName>
    <definedName name="dms_F100101_Values">'F10. Assets'!$C$12:$K$17</definedName>
    <definedName name="dms_F7_01_Rows">'F7. Provisions'!$B$12</definedName>
    <definedName name="dms_F7_02_Rows">'F7. Provisions'!$B$14:$B$16</definedName>
    <definedName name="dms_F7_03_Rows">'F7. Provisions'!$B$29</definedName>
    <definedName name="dms_F7_P01_01_Values">'F7. Provisions'!$C$12:$K$12</definedName>
    <definedName name="dms_F7_P01_02_01_Values">'F7. Provisions'!$C$14:$K$16</definedName>
    <definedName name="dms_F7_P01_02_02_Values">'F7. Provisions'!$C$18:$K$20</definedName>
    <definedName name="dms_F7_P01_02_03_Values">'F7. Provisions'!$C$22:$K$24</definedName>
    <definedName name="dms_F7_P01_02_04_Values">'F7. Provisions'!$C$26:$K$28</definedName>
    <definedName name="dms_F7_P01_03_Values">'F7. Provisions'!$C$29:$K$29</definedName>
    <definedName name="dms_F7_P02_01_Values">'F7. Provisions'!$C$32:$K$32</definedName>
    <definedName name="dms_F7_P02_02_01_Values">'F7. Provisions'!$C$34:$K$36</definedName>
    <definedName name="dms_F7_P02_02_02_Values">'F7. Provisions'!$C$38:$K$40</definedName>
    <definedName name="dms_F7_P02_02_03_Values">'F7. Provisions'!$C$42:$K$44</definedName>
    <definedName name="dms_F7_P02_02_04_Values">'F7. Provisions'!$C$46:$K$48</definedName>
    <definedName name="dms_F7_P02_03_Values">'F7. Provisions'!$C$49:$K$49</definedName>
    <definedName name="dms_F7_P03_01_Values">'F7. Provisions'!$C$52:$K$52</definedName>
    <definedName name="dms_F7_P03_02_01_Values">'F7. Provisions'!$C$54:$K$56</definedName>
    <definedName name="dms_F7_P03_02_02_Values">'F7. Provisions'!$C$58:$K$60</definedName>
    <definedName name="dms_F7_P03_02_03_Values">'F7. Provisions'!$C$62:$K$64</definedName>
    <definedName name="dms_F7_P03_02_04_Values">'F7. Provisions'!$C$66:$K$68</definedName>
    <definedName name="dms_F7_P03_03_Values">'F7. Provisions'!$C$69:$K$69</definedName>
    <definedName name="dms_F7_P04_01_Values">'F7. Provisions'!$C$72:$K$72</definedName>
    <definedName name="dms_F7_P04_02_01_Values">'F7. Provisions'!$C$74:$K$76</definedName>
    <definedName name="dms_F7_P04_02_02_Values">'F7. Provisions'!$C$78:$K$80</definedName>
    <definedName name="dms_F7_P04_02_03_Values">'F7. Provisions'!$C$82:$K$84</definedName>
    <definedName name="dms_F7_P04_02_04_Values">'F7. Provisions'!$C$86:$K$88</definedName>
    <definedName name="dms_F7_P04_03_Values">'F7. Provisions'!$C$89:$K$89</definedName>
    <definedName name="dms_F7_P05_01_Values">'F7. Provisions'!$C$92:$K$92</definedName>
    <definedName name="dms_F7_P05_02_01_Values">'F7. Provisions'!$C$94:$K$96</definedName>
    <definedName name="dms_F7_P05_02_02_Values">'F7. Provisions'!$C$98:$K$100</definedName>
    <definedName name="dms_F7_P05_02_03_Values">'F7. Provisions'!$C$102:$K$104</definedName>
    <definedName name="dms_F7_P05_02_04_Values">'F7. Provisions'!$C$106:$K$108</definedName>
    <definedName name="dms_F7_P05_03_Values">'F7. Provisions'!$C$109:$K$109</definedName>
    <definedName name="dms_F7_P06_01_Values">'F7. Provisions'!$C$112:$K$112</definedName>
    <definedName name="dms_F7_P06_02_01_Values">'F7. Provisions'!$C$114:$K$116</definedName>
    <definedName name="dms_F7_P06_02_02_Values">'F7. Provisions'!$C$118:$K$120</definedName>
    <definedName name="dms_F7_P06_02_03_Values">'F7. Provisions'!$C$122:$K$124</definedName>
    <definedName name="dms_F7_P06_02_04_Values">'F7. Provisions'!$C$126:$K$128</definedName>
    <definedName name="dms_F7_P06_03_Values">'F7. Provisions'!$C$129:$K$129</definedName>
    <definedName name="dms_F7_P07_01_Values">'F7. Provisions'!$C$132:$K$132</definedName>
    <definedName name="dms_F7_P07_02_01_Values">'F7. Provisions'!$C$134:$K$136</definedName>
    <definedName name="dms_F7_P07_02_02_Values">'F7. Provisions'!$C$138:$K$140</definedName>
    <definedName name="dms_F7_P07_02_03_Values">'F7. Provisions'!$C$142:$K$144</definedName>
    <definedName name="dms_F7_P07_02_04_Values">'F7. Provisions'!$C$146:$K$148</definedName>
    <definedName name="dms_F7_P07_03_Values">'F7. Provisions'!$C$149:$K$149</definedName>
    <definedName name="dms_F7_P08_01_Values">'F7. Provisions'!$C$152:$K$152</definedName>
    <definedName name="dms_F7_P08_02_01_Values">'F7. Provisions'!$C$154:$K$156</definedName>
    <definedName name="dms_F7_P08_02_02_Values">'F7. Provisions'!$C$158:$K$160</definedName>
    <definedName name="dms_F7_P08_02_03_Values">'F7. Provisions'!$C$162:$K$164</definedName>
    <definedName name="dms_F7_P08_02_04_Values">'F7. Provisions'!$C$166:$K$168</definedName>
    <definedName name="dms_F7_P08_03_Values">'F7. Provisions'!$C$169:$K$169</definedName>
    <definedName name="dms_F7_P09_01_Values">'F7. Provisions'!$C$172:$K$172</definedName>
    <definedName name="dms_F7_P09_02_01_Values">'F7. Provisions'!$C$174:$K$176</definedName>
    <definedName name="dms_F7_P09_02_02_Values">'F7. Provisions'!$C$178:$K$180</definedName>
    <definedName name="dms_F7_P09_02_03_Values">'F7. Provisions'!$C$182:$K$184</definedName>
    <definedName name="dms_F7_P09_02_04_Values">'F7. Provisions'!$C$186:$K$188</definedName>
    <definedName name="dms_F7_P09_03_Values">'F7. Provisions'!$C$189:$K$189</definedName>
    <definedName name="dms_F7_P10_01_Values">'F7. Provisions'!$C$192:$K$192</definedName>
    <definedName name="dms_F7_P10_02_01_Values">'F7. Provisions'!$C$194:$K$196</definedName>
    <definedName name="dms_F7_P10_02_02_Values">'F7. Provisions'!$C$198:$K$200</definedName>
    <definedName name="dms_F7_P10_02_03_Values">'F7. Provisions'!$C$202:$K$204</definedName>
    <definedName name="dms_F7_P10_02_04_Values">'F7. Provisions'!$C$206:$K$208</definedName>
    <definedName name="dms_F7_P10_03_Values">'F7. Provisions'!$C$209:$K$209</definedName>
    <definedName name="dms_F7_P11_01_Values">'F7. Provisions'!$C$212:$K$212</definedName>
    <definedName name="dms_F7_P11_02_01_Values">'F7. Provisions'!$C$214:$K$216</definedName>
    <definedName name="dms_F7_P11_02_02_Values">'F7. Provisions'!$C$218:$K$220</definedName>
    <definedName name="dms_F7_P11_02_03_Values">'F7. Provisions'!$C$222:$K$224</definedName>
    <definedName name="dms_F7_P11_02_04_Values">'F7. Provisions'!$C$226:$K$228</definedName>
    <definedName name="dms_F7_P11_03_Values">'F7. Provisions'!$C$229:$K$229</definedName>
    <definedName name="dms_F7_P12_01_Values">'F7. Provisions'!$C$232:$K$232</definedName>
    <definedName name="dms_F7_P12_02_01_Values">'F7. Provisions'!$C$234:$K$236</definedName>
    <definedName name="dms_F7_P12_02_02_Values">'F7. Provisions'!$C$238:$K$240</definedName>
    <definedName name="dms_F7_P12_02_03_Values">'F7. Provisions'!$C$242:$K$244</definedName>
    <definedName name="dms_F7_P12_02_04_Values">'F7. Provisions'!$C$246:$K$248</definedName>
    <definedName name="dms_F7_P12_03_Values">'F7. Provisions'!$C$249:$K$249</definedName>
    <definedName name="dms_F7_P13_01_Values">'F7. Provisions'!$C$252:$K$252</definedName>
    <definedName name="dms_F7_P13_02_01_Values">'F7. Provisions'!$C$254:$K$256</definedName>
    <definedName name="dms_F7_P13_02_02_Values">'F7. Provisions'!$C$258:$K$260</definedName>
    <definedName name="dms_F7_P13_02_03_Values">'F7. Provisions'!$C$262:$K$264</definedName>
    <definedName name="dms_F7_P13_02_04_Values">'F7. Provisions'!$C$266:$K$268</definedName>
    <definedName name="dms_F7_P13_03_Values">'F7. Provisions'!$C$269:$K$269</definedName>
    <definedName name="dms_F7_P14_01_Values">'F7. Provisions'!$C$272:$K$272</definedName>
    <definedName name="dms_F7_P14_02_01_Values">'F7. Provisions'!$C$274:$K$276</definedName>
    <definedName name="dms_F7_P14_02_02_Values">'F7. Provisions'!$C$278:$K$280</definedName>
    <definedName name="dms_F7_P14_02_03_Values">'F7. Provisions'!$C$282:$K$284</definedName>
    <definedName name="dms_F7_P14_02_04_Values">'F7. Provisions'!$C$286:$K$288</definedName>
    <definedName name="dms_F7_P14_03_Values">'F7. Provisions'!$C$289:$K$289</definedName>
    <definedName name="dms_F7_P15_01_Values">'F7. Provisions'!$C$292:$K$292</definedName>
    <definedName name="dms_F7_P15_02_01_Values">'F7. Provisions'!$C$294:$K$296</definedName>
    <definedName name="dms_F7_P15_02_02_Values">'F7. Provisions'!$C$298:$K$300</definedName>
    <definedName name="dms_F7_P15_02_03_Values">'F7. Provisions'!$C$302:$K$304</definedName>
    <definedName name="dms_F7_P15_02_04_Values">'F7. Provisions'!$C$306:$K$308</definedName>
    <definedName name="dms_F7_P15_03_Values">'F7. Provisions'!$C$309:$K$309</definedName>
    <definedName name="dms_F7_P16_01_Values">'F7. Provisions'!$C$312:$K$312</definedName>
    <definedName name="dms_F7_P16_02_01_Values">'F7. Provisions'!$C$314:$K$316</definedName>
    <definedName name="dms_F7_P16_02_02_Values">'F7. Provisions'!$C$318:$K$320</definedName>
    <definedName name="dms_F7_P16_02_03_Values">'F7. Provisions'!$C$322:$K$324</definedName>
    <definedName name="dms_F7_P16_02_04_Values">'F7. Provisions'!$C$326:$K$328</definedName>
    <definedName name="dms_F7_P16_03_Values">'F7. Provisions'!$C$329:$K$329</definedName>
    <definedName name="dms_F7_P17_01_Values">'F7. Provisions'!$C$332:$K$332</definedName>
    <definedName name="dms_F7_P17_02_01_Values">'F7. Provisions'!$C$334:$K$336</definedName>
    <definedName name="dms_F7_P17_02_02_Values">'F7. Provisions'!$C$338:$K$340</definedName>
    <definedName name="dms_F7_P17_02_03_Values">'F7. Provisions'!$C$342:$K$344</definedName>
    <definedName name="dms_F7_P17_02_04_Values">'F7. Provisions'!$C$346:$K$348</definedName>
    <definedName name="dms_F7_P17_03_Values">'F7. Provisions'!$C$349:$K$349</definedName>
    <definedName name="dms_F7_P18_01_Values">'F7. Provisions'!$C$352:$K$352</definedName>
    <definedName name="dms_F7_P18_02_01_Values">'F7. Provisions'!$C$354:$K$356</definedName>
    <definedName name="dms_F7_P18_02_02_Values">'F7. Provisions'!$C$358:$K$360</definedName>
    <definedName name="dms_F7_P18_02_03_Values">'F7. Provisions'!$C$362:$K$364</definedName>
    <definedName name="dms_F7_P18_02_04_Values">'F7. Provisions'!$C$366:$K$368</definedName>
    <definedName name="dms_F7_P18_03_Values">'F7. Provisions'!$C$369:$K$369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'AER lookups'!$AF$13:$AF$18</definedName>
    <definedName name="dms_FeederName_2">'AER lookups'!$AG$13:$AG$18</definedName>
    <definedName name="dms_FeederName_3">'AER lookups'!$AH$13:$AH$18</definedName>
    <definedName name="dms_FeederName_4">'AER lookups'!$AI$13:$AI$18</definedName>
    <definedName name="dms_FeederName_5">'AER lookups'!$AJ$13:$AJ$18</definedName>
    <definedName name="dms_FeederType_5_flag">'AER lookups'!$AD$13:$AD$18</definedName>
    <definedName name="dms_FifthFeeder_flag_NSP">'AER ETL'!$C$125</definedName>
    <definedName name="dms_FormControl">'AER ETL'!$C$34</definedName>
    <definedName name="dms_FormControl_Choices">'AER NRs'!$D$14:$D$16</definedName>
    <definedName name="dms_FormControl_List">'AER lookups'!$H$13:$H$18</definedName>
    <definedName name="dms_FRCP_start_row">'AER ETL'!$C$39</definedName>
    <definedName name="dms_FRCP_y1">'AER lookups'!$H$39</definedName>
    <definedName name="dms_FRCPlength_List">'AER lookups'!$L$13:$L$18</definedName>
    <definedName name="dms_FRCPlength_Num">'AER ETL'!$C$70</definedName>
    <definedName name="dms_Header_Span">'AER ETL'!$C$60</definedName>
    <definedName name="dms_Jurisdiction">'AER ETL'!$C$26</definedName>
    <definedName name="dms_JurisdictionList">'AER lookups'!$E$13:$E$18</definedName>
    <definedName name="dms_LeapYear_Result">'AER ETL'!$C$98</definedName>
    <definedName name="dms_LongRural_flag">'AER lookups'!$AC$13:$AC$18</definedName>
    <definedName name="dms_LongRural_flag_NSP">'AER ETL'!$C$124</definedName>
    <definedName name="dms_MAIFI_flag_List">'AER lookups'!$AE$13:$AE$18</definedName>
    <definedName name="dms_Mid">'AER NRs'!$D$176</definedName>
    <definedName name="dms_Model">'AER ETL'!$C$11</definedName>
    <definedName name="dms_Model_List">'AER lookups'!$B$25:$B$34</definedName>
    <definedName name="dms_Model_Name_Format1">'AER lookups'!$C$25:$C$34</definedName>
    <definedName name="dms_Model_Span">'AER ETL'!$C$56</definedName>
    <definedName name="dms_Model_Span_List">'AER lookups'!$E$25:$E$34</definedName>
    <definedName name="dms_Multi_RYE_flag">'AER ETL'!$C$135</definedName>
    <definedName name="dms_MultiYear_ABC_RIN">'AER ETL'!$C$82</definedName>
    <definedName name="dms_MultiYear_FinalYear_Result">'AER ETL'!$C$83</definedName>
    <definedName name="dms_MultiYear_Flag">'AER ETL'!$C$63</definedName>
    <definedName name="dms_MultiYear_ResponseFlag">'AER ETL'!$C$62</definedName>
    <definedName name="dms_N0101_Rows">'N1. Demand'!$B$10:$B$12</definedName>
    <definedName name="dms_N0101_Values">'N1. Demand'!$C$10:$K$12</definedName>
    <definedName name="dms_N0102_Rows">'N1. Demand'!$B$20:$B$94</definedName>
    <definedName name="dms_N0102_Values">'N1. Demand'!$C$20:$K$94</definedName>
    <definedName name="dms_N020101_Rows">'N2. Network characteristics'!$C$11:$C$22</definedName>
    <definedName name="dms_N020101_Values">'N2. Network characteristics'!$D$11:$L$22</definedName>
    <definedName name="dms_N020102_Values">'N2. Network characteristics'!$D$24:$L$35</definedName>
    <definedName name="dms_N020103_Values">'N2. Network characteristics'!$D$37:$L$48</definedName>
    <definedName name="dms_N020104_Rows">'N2. Network characteristics'!$C$50:$C$51</definedName>
    <definedName name="dms_N020104_Values">'N2. Network characteristics'!$D$50:$L$51</definedName>
    <definedName name="dms_N020201_Rows">'N2. Network characteristics'!$C$59:$C$61</definedName>
    <definedName name="dms_N020201_Values">'N2. Network characteristics'!$D$59:$L$61</definedName>
    <definedName name="dms_N0205_AssetType">'AER NRs'!$N$32:$N$42</definedName>
    <definedName name="dms_PAddr1">'Business &amp; other details'!$BQ$23</definedName>
    <definedName name="dms_PAddr1_List">'AER lookups'!$U$13:$U$18</definedName>
    <definedName name="dms_PAddr2">'Business &amp; other details'!$BQ$24</definedName>
    <definedName name="dms_PAddr2_List">'AER lookups'!$V$13:$V$18</definedName>
    <definedName name="dms_Partial">'AER ETL'!$C$131</definedName>
    <definedName name="dms_PostCode">'Business &amp; other details'!$AX$26</definedName>
    <definedName name="dms_PostCode_List">'AER lookups'!$T$13:$T$18</definedName>
    <definedName name="dms_PPostCode">'Business &amp; other details'!$CC$26</definedName>
    <definedName name="dms_PPostCode_List">'AER lookups'!$Y$13:$Y$18</definedName>
    <definedName name="dms_PRCP_start_row">'AER ETL'!$C$41</definedName>
    <definedName name="dms_PRCPlength_List">'AER lookups'!$M$13:$M$18</definedName>
    <definedName name="dms_PRCPlength_Num">'AER ETL'!$C$68</definedName>
    <definedName name="dms_Previous_DollarReal_year">'AER ETL'!$C$52</definedName>
    <definedName name="dms_PState">'Business &amp; other details'!$BQ$26</definedName>
    <definedName name="dms_PState_List">'AER lookups'!$X$13:$X$18</definedName>
    <definedName name="dms_PSuburb">'Business &amp; other details'!$BQ$25</definedName>
    <definedName name="dms_PSuburb_List">'AER lookups'!$W$13:$W$18</definedName>
    <definedName name="dms_PTRM_RAB_PIT">'AER NRs'!$C$179:$C$183</definedName>
    <definedName name="dms_PTRM_TAB_PIT">'AER NRs'!$D$179:$D$182</definedName>
    <definedName name="dms_Public_Lighting">'AER ETL'!$C$120</definedName>
    <definedName name="dms_Public_Lighting_List">'AER lookups'!$AK$13:$AK$18</definedName>
    <definedName name="dms_Reason_Interruption">'AER NRs'!$I$32:$I$47</definedName>
    <definedName name="dms_Reset_final_year">'AER ETL'!$C$49</definedName>
    <definedName name="dms_Reset_RYE">'AER ETL'!$C$54</definedName>
    <definedName name="dms_Reset_Span">'AER ETL'!$C$58</definedName>
    <definedName name="dms_RPT">'AER ETL'!$C$23</definedName>
    <definedName name="dms_RPT_List">'AER lookups'!$I$13:$I$18</definedName>
    <definedName name="dms_RPTMonth">'AER ETL'!$C$30</definedName>
    <definedName name="dms_RPTMonth_List">'AER lookups'!$J$13:$J$18</definedName>
    <definedName name="dms_RYE">'AER ETL'!$C$22</definedName>
    <definedName name="dms_RYE_01">'AER ETL'!$C$137</definedName>
    <definedName name="dms_RYE_02">'AER ETL'!$C$138</definedName>
    <definedName name="dms_RYE_03">'AER ETL'!$C$139</definedName>
    <definedName name="dms_RYE_04">'AER ETL'!$C$140</definedName>
    <definedName name="dms_RYE_05">'AER ETL'!$C$141</definedName>
    <definedName name="dms_RYE_06">'AER ETL'!$C$142</definedName>
    <definedName name="dms_RYE_07">'AER ETL'!$C$143</definedName>
    <definedName name="dms_RYE_08">'AER ETL'!$C$144</definedName>
    <definedName name="dms_RYE_09">'AER ETL'!$C$145</definedName>
    <definedName name="dms_RYE_result">'AER ETL'!$C$57</definedName>
    <definedName name="dms_RYE_start_row">'AER ETL'!$C$42</definedName>
    <definedName name="dms_S010101_Rows">'S1.1. Customer numbers'!$B$12:$B$15</definedName>
    <definedName name="dms_S010101_Values">'S1.1. Customer numbers'!$C$12:$K$15</definedName>
    <definedName name="dms_S010102_Values">'S1.1. Customer numbers'!$C$17:$K$20</definedName>
    <definedName name="dms_S010103_Values">'S1.1. Customer numbers'!$C$22:$K$25</definedName>
    <definedName name="dms_S010201_Rows">'S1.2. Customer numbers'!$B$11:$B$85</definedName>
    <definedName name="dms_S010201_Values">'S1.2. Customer numbers'!$C$11:$C$85</definedName>
    <definedName name="dms_S010202_Values">'S1.2. Customer numbers'!$C$93:$K$167</definedName>
    <definedName name="dms_S010203_Values">'S1.2. Customer numbers'!$C$175:$K$249</definedName>
    <definedName name="dms_S010204_Values">'S1.2. Customer numbers'!$C$257:$K$331</definedName>
    <definedName name="dms_S100101_Rows">'S10. Supply quality'!$B$11:$B$15</definedName>
    <definedName name="dms_S100101_Values">'S10. Supply quality'!$C$11:$K$15</definedName>
    <definedName name="dms_S1101_Rows">'S11. Network reliability'!$B$12:$B$14</definedName>
    <definedName name="dms_S110101_Values">'S11. Network reliability'!$C$12:$K$14</definedName>
    <definedName name="dms_S110102_Values">'S11. Network reliability'!$C$20:$K$22</definedName>
    <definedName name="dms_S1102_Rows">'S11. Network reliability'!$B$32:$B$38</definedName>
    <definedName name="dms_S110201_01_Values">'S11. Network reliability'!$C$32:$K$38</definedName>
    <definedName name="dms_S110201_02_Values">'S11. Network reliability'!$C$40:$K$46</definedName>
    <definedName name="dms_S110201_03_Values">'S11. Network reliability'!$C$48:$K$54</definedName>
    <definedName name="dms_S110201_04_Values">'S11. Network reliability'!$C$56:$K$62</definedName>
    <definedName name="dms_S110201_05_Values">'S11. Network reliability'!$C$64:$K$70</definedName>
    <definedName name="dms_S110201_06_Values">'S11. Network reliability'!$C$72:$K$78</definedName>
    <definedName name="dms_S110201_07_Values">'S11. Network reliability'!$C$80:$K$86</definedName>
    <definedName name="dms_S110201_08_Values">'S11. Network reliability'!$C$88:$K$94</definedName>
    <definedName name="dms_S110201_09_Values">'S11. Network reliability'!$C$96:$K$102</definedName>
    <definedName name="dms_S110201_10_Values">'S11. Network reliability'!$C$104:$K$110</definedName>
    <definedName name="dms_S110201_11_Values">'S11. Network reliability'!$C$112:$K$118</definedName>
    <definedName name="dms_S110202_01_Values">'S11. Network reliability'!$C$125:$K$131</definedName>
    <definedName name="dms_S110202_02_Values">'S11. Network reliability'!$C$133:$K$139</definedName>
    <definedName name="dms_S110202_03_Values">'S11. Network reliability'!$C$141:$K$147</definedName>
    <definedName name="dms_S110202_04_Values">'S11. Network reliability'!$C$149:$K$155</definedName>
    <definedName name="dms_S110202_05_Values">'S11. Network reliability'!$C$157:$K$163</definedName>
    <definedName name="dms_S110202_06_Values">'S11. Network reliability'!$C$165:$K$171</definedName>
    <definedName name="dms_S110202_07_Values">'S11. Network reliability'!$C$173:$K$179</definedName>
    <definedName name="dms_S110202_08_Values">'S11. Network reliability'!$C$181:$K$187</definedName>
    <definedName name="dms_S110202_09_Values">'S11. Network reliability'!$C$189:$K$195</definedName>
    <definedName name="dms_S110202_10_Values">'S11. Network reliability'!$C$197:$K$203</definedName>
    <definedName name="dms_S110202_11_Values">'S11. Network reliability'!$C$205:$K$211</definedName>
    <definedName name="dms_S110203_01_Values">'S11. Network reliability'!$C$218:$K$224</definedName>
    <definedName name="dms_S110203_02_Values">'S11. Network reliability'!$C$226:$K$232</definedName>
    <definedName name="dms_S110203_03_Values">'S11. Network reliability'!$C$234:$K$240</definedName>
    <definedName name="dms_S110203_04_Values">'S11. Network reliability'!$C$242:$K$248</definedName>
    <definedName name="dms_S110203_05_Values">'S11. Network reliability'!$C$250:$K$256</definedName>
    <definedName name="dms_S110203_06_Values">'S11. Network reliability'!$C$258:$K$264</definedName>
    <definedName name="dms_S110203_07_Values">'S11. Network reliability'!$C$266:$K$272</definedName>
    <definedName name="dms_S110203_08_Values">'S11. Network reliability'!$C$274:$K$280</definedName>
    <definedName name="dms_S110203_09_Values">'S11. Network reliability'!$C$282:$K$288</definedName>
    <definedName name="dms_S110203_10_Values">'S11. Network reliability'!$C$290:$K$296</definedName>
    <definedName name="dms_S110203_11_Values">'S11. Network reliability'!$C$298:$K$304</definedName>
    <definedName name="dms_S1103_Rows">'S11. Network reliability'!$B$312:$B$317</definedName>
    <definedName name="dms_S1103_Values">'S11. Network reliability'!$C$312:$K$317</definedName>
    <definedName name="dms_S140101_Rows">'S14. Network integrity'!$B$12:$B$15</definedName>
    <definedName name="dms_S140101_UOM">'AER NRs'!$M$84:$M$87</definedName>
    <definedName name="dms_S140101_Values">'S14. Network integrity'!$D$12:$L$15</definedName>
    <definedName name="dms_S140102_Values">'S14. Network integrity'!$D$17:$L$20</definedName>
    <definedName name="dms_S140103_Values">'S14. Network integrity'!$D$22:$L$25</definedName>
    <definedName name="dms_S140201_Rows">'S14. Network integrity'!$B$33:$B$35</definedName>
    <definedName name="dms_S140201_Values">'S14. Network integrity'!$D$33:$L$35</definedName>
    <definedName name="dms_Sector">'AER ETL'!$C$20</definedName>
    <definedName name="dms_Sector_List">'AER lookups'!$F$13:$F$18</definedName>
    <definedName name="dms_Segment">'AER ETL'!$C$21</definedName>
    <definedName name="dms_Segment_List">'AER lookups'!$G$13:$G$18</definedName>
    <definedName name="dms_Selected_Quality">'Business &amp; other details'!$AL$66</definedName>
    <definedName name="dms_Selected_Source">'Business &amp; other details'!$AL$64</definedName>
    <definedName name="dms_Selected_Status">'Business &amp; other details'!$AL$68</definedName>
    <definedName name="dms_ShortRural_flag">'AER lookups'!$AB$13:$AB$18</definedName>
    <definedName name="dms_ShortRural_flag_NSP">'AER ETL'!$C$123</definedName>
    <definedName name="dms_SingleYear_FinalYear_Result">'AER ETL'!$C$76</definedName>
    <definedName name="dms_SingleYear_Model">'AER ETL'!$C$72:$C$74</definedName>
    <definedName name="dms_SingleYearModel">'AER ETL'!$C$75</definedName>
    <definedName name="dms_Source">'AER ETL'!$C$12</definedName>
    <definedName name="dms_SourceList">'AER NRs'!$C$14:$C$27</definedName>
    <definedName name="dms_Specified_FinalYear">'AER ETL'!$C$64</definedName>
    <definedName name="dms_Specified_RYE">'AER ETL'!$C$55</definedName>
    <definedName name="dms_SpecifiedYear_final_year">'AER ETL'!$C$50</definedName>
    <definedName name="dms_SpecifiedYear_Span">'AER ETL'!$C$59</definedName>
    <definedName name="dms_start_year">'AER ETL'!$C$36</definedName>
    <definedName name="dms_State">'Business &amp; other details'!$AL$26</definedName>
    <definedName name="dms_State_List">'AER lookups'!$S$13:$S$18</definedName>
    <definedName name="dms_STPIS_Exclusion_List">'AER NRs'!$H$32:$H$41</definedName>
    <definedName name="dms_SubmissionDate">'AER ETL'!$C$16</definedName>
    <definedName name="dms_Suburb">'Business &amp; other details'!$AL$25</definedName>
    <definedName name="dms_Suburb_List">'AER lookups'!$R$13:$R$18</definedName>
    <definedName name="dms_TemplateNumber">'AER lookups'!$D$9</definedName>
    <definedName name="dms_TNSP_0203_ProjectTrigger">'AER NRs'!$G$65:$G$72</definedName>
    <definedName name="dms_TNSP_0203_SubstationType">'AER NRs'!$C$65:$C$68</definedName>
    <definedName name="dms_TNSP_020301_ProjectTrigger">'AER NRs'!$E$65:$E$72</definedName>
    <definedName name="dms_TNSP_020301_ProjectType">'AER NRs'!$D$65:$D$68</definedName>
    <definedName name="dms_TNSP_020302_ProjectType">'AER NRs'!$F$65:$F$77</definedName>
    <definedName name="dms_Today">'AER lookups'!$A$12</definedName>
    <definedName name="dms_TradingName">'Business &amp; other details'!$AL$16</definedName>
    <definedName name="dms_TradingName_List">'AER lookups'!$B$13:$B$18</definedName>
    <definedName name="dms_TradingNameFull">'AER ETL'!$C$9</definedName>
    <definedName name="dms_TradingNameFull_List">'AER lookups'!$C$13:$C$18</definedName>
    <definedName name="dms_Typed_Submission_Date">'Business &amp; other details'!$AL$74</definedName>
    <definedName name="dms_Urban_flag">'AER lookups'!$AA$13:$AA$18</definedName>
    <definedName name="dms_Urban_flag_NSP">'AER ETL'!$C$122</definedName>
    <definedName name="dms_Worksheet_List">'AER lookups'!$D$25:$D$34</definedName>
    <definedName name="DMS_Xfactor">'AER NRs'!$E$179</definedName>
    <definedName name="dms_y1">'AER lookups'!$E$58</definedName>
    <definedName name="dms_y10">'AER lookups'!$E$67</definedName>
    <definedName name="dms_y11">'AER lookups'!$E$68</definedName>
    <definedName name="dms_y12">'AER lookups'!$E$69</definedName>
    <definedName name="dms_y13">'AER lookups'!$E$70</definedName>
    <definedName name="dms_y14">'AER lookups'!$E$71</definedName>
    <definedName name="dms_y15">'AER lookups'!$E$72</definedName>
    <definedName name="dms_y16">'AER lookups'!$E$73</definedName>
    <definedName name="dms_y2">'AER lookups'!$E$59</definedName>
    <definedName name="dms_y3">'AER lookups'!$E$60</definedName>
    <definedName name="dms_y4">'AER lookups'!$E$61</definedName>
    <definedName name="dms_y5">'AER lookups'!$E$62</definedName>
    <definedName name="dms_y6">'AER lookups'!$E$63</definedName>
    <definedName name="dms_y7">'AER lookups'!$E$64</definedName>
    <definedName name="dms_y8">'AER lookups'!$E$65</definedName>
    <definedName name="dms_y9">'AER lookups'!$E$66</definedName>
    <definedName name="EB">'AER lookups'!$C$29</definedName>
    <definedName name="EB_Fmt2">'AER lookups'!$D$29</definedName>
    <definedName name="F90101_Rows">'F9. Pass throughs'!$B$10:$B$17</definedName>
    <definedName name="F90101_Values">'F9. Pass throughs'!$C$10:$K$17</definedName>
    <definedName name="Financial">'AER lookups'!$B$39:$B$88</definedName>
    <definedName name="FRCP_final_year">'AER ETL'!$C$46</definedName>
    <definedName name="FRCP_start_year">'AER ETL'!$C$43</definedName>
    <definedName name="FRCP_y1">'Business &amp; other details'!$AL$42</definedName>
    <definedName name="FRCP_y10">'AER lookups'!$I$48</definedName>
    <definedName name="FRCP_y11">'AER lookups'!$I$49</definedName>
    <definedName name="FRCP_y12">'AER lookups'!$I$50</definedName>
    <definedName name="FRCP_y13">'AER lookups'!$I$51</definedName>
    <definedName name="FRCP_y14">'AER lookups'!$I$52</definedName>
    <definedName name="FRCP_y15">'AER lookups'!$I$53</definedName>
    <definedName name="FRCP_y16">'AER lookups'!$I$54</definedName>
    <definedName name="FRCP_y2">'AER lookups'!$I$40</definedName>
    <definedName name="FRCP_y3">'AER lookups'!$I$41</definedName>
    <definedName name="FRCP_y4">'AER lookups'!$I$42</definedName>
    <definedName name="FRCP_y5">'AER lookups'!$I$43</definedName>
    <definedName name="FRCP_y6">'AER lookups'!$I$44</definedName>
    <definedName name="FRCP_y7">'AER lookups'!$I$45</definedName>
    <definedName name="FRCP_y8">'AER lookups'!$I$46</definedName>
    <definedName name="FRCP_y9">'AER lookups'!$I$47</definedName>
    <definedName name="FRY">'Business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'AER CF'!$C$7:$C$27</definedName>
    <definedName name="LAN" localSheetId="0" hidden="1">{"Ownership",#N/A,FALSE,"Ownership";"Contents",#N/A,FALSE,"Contents"}</definedName>
    <definedName name="LAN" localSheetId="25" hidden="1">{"Ownership",#N/A,FALSE,"Ownership";"Contents",#N/A,FALSE,"Contents"}</definedName>
    <definedName name="LAN" localSheetId="14" hidden="1">{"Ownership",#N/A,FALSE,"Ownership";"Contents",#N/A,FALSE,"Contents"}</definedName>
    <definedName name="LAN" hidden="1">{"Ownership",#N/A,FALSE,"Ownership";"Contents",#N/A,FALSE,"Contents"}</definedName>
    <definedName name="MAIFI_flag">'AER lookups'!$AE$11</definedName>
    <definedName name="PRCP_final_year">'AER ETL'!$C$48</definedName>
    <definedName name="PRCP_start_year">'AER ETL'!$C$45</definedName>
    <definedName name="PRCP_y1">'AER lookups'!$E$39</definedName>
    <definedName name="PRCP_y10">'AER lookups'!$E$48</definedName>
    <definedName name="PRCP_y11">'AER lookups'!$E$49</definedName>
    <definedName name="PRCP_y12">'AER lookups'!$E$50</definedName>
    <definedName name="PRCP_y13">'AER lookups'!$E$51</definedName>
    <definedName name="PRCP_y14">'AER lookups'!$E$52</definedName>
    <definedName name="PRCP_y15">'AER lookups'!$E$53</definedName>
    <definedName name="PRCP_y16">'AER lookups'!$E$54</definedName>
    <definedName name="PRCP_y2">'AER lookups'!$E$40</definedName>
    <definedName name="PRCP_y3">'AER lookups'!$E$41</definedName>
    <definedName name="PRCP_y4">'AER lookups'!$E$42</definedName>
    <definedName name="PRCP_y5">'AER lookups'!$E$43</definedName>
    <definedName name="PRCP_y6">'AER lookups'!$E$44</definedName>
    <definedName name="PRCP_y7">'AER lookups'!$E$45</definedName>
    <definedName name="PRCP_y8">'AER lookups'!$E$46</definedName>
    <definedName name="PRCP_y9">'AER lookups'!$E$47</definedName>
    <definedName name="Pricing">'AER lookups'!$C$30</definedName>
    <definedName name="Pricing_Fmt2">'AER lookups'!$D$30</definedName>
    <definedName name="PTRM">'AER lookups'!$C$31</definedName>
    <definedName name="PTRM_Fmt2">'AER lookups'!$D$31</definedName>
    <definedName name="Reset">'AER lookups'!$C$32</definedName>
    <definedName name="Reset_Fmt2">'AER lookups'!$D$32</definedName>
    <definedName name="RFM">'AER lookups'!$C$33</definedName>
    <definedName name="RFM_Fmt2">'AER lookups'!$D$33</definedName>
    <definedName name="Sector">'AER CF'!$D$7:$D$27</definedName>
    <definedName name="Segment">'AER CF'!$E$7:$E$27</definedName>
    <definedName name="teest" localSheetId="0" hidden="1">{"Ownership",#N/A,FALSE,"Ownership";"Contents",#N/A,FALSE,"Contents"}</definedName>
    <definedName name="teest" localSheetId="25" hidden="1">{"Ownership",#N/A,FALSE,"Ownership";"Contents",#N/A,FALSE,"Contents"}</definedName>
    <definedName name="teest" localSheetId="14" hidden="1">{"Ownership",#N/A,FALSE,"Ownership";"Contents",#N/A,FALSE,"Contents"}</definedName>
    <definedName name="teest" hidden="1">{"Ownership",#N/A,FALSE,"Ownership";"Contents",#N/A,FALSE,"Contents"}</definedName>
    <definedName name="test" localSheetId="0" hidden="1">{"Ownership",#N/A,FALSE,"Ownership";"Contents",#N/A,FALSE,"Contents"}</definedName>
    <definedName name="test" localSheetId="25" hidden="1">{"Ownership",#N/A,FALSE,"Ownership";"Contents",#N/A,FALSE,"Contents"}</definedName>
    <definedName name="test" localSheetId="14" hidden="1">{"Ownership",#N/A,FALSE,"Ownership";"Contents",#N/A,FALSE,"Contents"}</definedName>
    <definedName name="test" hidden="1">{"Ownership",#N/A,FALSE,"Ownership";"Contents",#N/A,FALSE,"Contents"}</definedName>
    <definedName name="WACC">'AER lookups'!$C$34</definedName>
    <definedName name="WACC_Fmt2">'AER lookups'!$D$34</definedName>
    <definedName name="wrn.App._.Custodians." localSheetId="0" hidden="1">{"Ownership",#N/A,FALSE,"Ownership";"Contents",#N/A,FALSE,"Contents"}</definedName>
    <definedName name="wrn.App._.Custodians." localSheetId="25" hidden="1">{"Ownership",#N/A,FALSE,"Ownership";"Contents",#N/A,FALSE,"Contents"}</definedName>
    <definedName name="wrn.App._.Custodians." localSheetId="14" hidden="1">{"Ownership",#N/A,FALSE,"Ownership";"Contents",#N/A,FALSE,"Contents"}</definedName>
    <definedName name="wrn.App._.Custodians." hidden="1">{"Ownership",#N/A,FALSE,"Ownership";"Contents",#N/A,FALSE,"Contents"}</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46" i="10" l="1"/>
  <c r="J15" i="5"/>
  <c r="J42" i="5"/>
  <c r="G15" i="5"/>
  <c r="F25" i="5"/>
  <c r="E52" i="5"/>
  <c r="F42" i="5"/>
  <c r="E15" i="5"/>
  <c r="G191" i="15"/>
  <c r="G12" i="39"/>
  <c r="F117" i="1"/>
  <c r="G145" i="15"/>
  <c r="C145" i="15"/>
  <c r="E145" i="15"/>
  <c r="F145" i="15"/>
  <c r="F51" i="15"/>
  <c r="C51" i="15"/>
  <c r="F62" i="25"/>
  <c r="K52" i="25"/>
  <c r="F52" i="25"/>
  <c r="E52" i="25"/>
  <c r="C195" i="1"/>
  <c r="J195" i="1"/>
  <c r="H195" i="1"/>
  <c r="K195" i="1"/>
  <c r="G195" i="1"/>
  <c r="AL23" i="46"/>
  <c r="AL24" i="46"/>
  <c r="AL25" i="46"/>
  <c r="BQ23" i="46"/>
  <c r="G17" i="27"/>
  <c r="E23" i="27"/>
  <c r="I17" i="27"/>
  <c r="I117" i="1"/>
  <c r="H117" i="1"/>
  <c r="H33" i="6"/>
  <c r="H17" i="27"/>
  <c r="B11" i="10"/>
  <c r="B12" i="10"/>
  <c r="B95" i="39"/>
  <c r="B15" i="39"/>
  <c r="B98" i="39"/>
  <c r="B181" i="39"/>
  <c r="B100" i="39"/>
  <c r="B19" i="39"/>
  <c r="B102" i="39"/>
  <c r="B21" i="39"/>
  <c r="B186" i="39"/>
  <c r="B23" i="39"/>
  <c r="B106" i="39"/>
  <c r="B271" i="39"/>
  <c r="B272" i="39"/>
  <c r="K128" i="10"/>
  <c r="K96" i="15"/>
  <c r="K31" i="31"/>
  <c r="K17" i="31"/>
  <c r="C31" i="31"/>
  <c r="E31" i="31"/>
  <c r="D31" i="31"/>
  <c r="G31" i="31"/>
  <c r="H17" i="31"/>
  <c r="D17" i="31"/>
  <c r="I42" i="5"/>
  <c r="J31" i="31"/>
  <c r="I18" i="14"/>
  <c r="D18" i="14"/>
  <c r="J128" i="10"/>
  <c r="D27" i="39"/>
  <c r="E27" i="39"/>
  <c r="F27" i="39"/>
  <c r="G27" i="39"/>
  <c r="H27" i="39"/>
  <c r="I27" i="39"/>
  <c r="J27" i="39"/>
  <c r="K27" i="39"/>
  <c r="D28" i="39"/>
  <c r="E28" i="39"/>
  <c r="F28" i="39"/>
  <c r="G28" i="39"/>
  <c r="H28" i="39"/>
  <c r="I28" i="39"/>
  <c r="J28" i="39"/>
  <c r="K28" i="39"/>
  <c r="D29" i="39"/>
  <c r="E29" i="39"/>
  <c r="F29" i="39"/>
  <c r="G29" i="39"/>
  <c r="H29" i="39"/>
  <c r="I29" i="39"/>
  <c r="J29" i="39"/>
  <c r="K29" i="39"/>
  <c r="D30" i="39"/>
  <c r="E30" i="39"/>
  <c r="F30" i="39"/>
  <c r="G30" i="39"/>
  <c r="H30" i="39"/>
  <c r="I30" i="39"/>
  <c r="J30" i="39"/>
  <c r="K30" i="39"/>
  <c r="D31" i="39"/>
  <c r="E31" i="39"/>
  <c r="F31" i="39"/>
  <c r="G31" i="39"/>
  <c r="H31" i="39"/>
  <c r="I31" i="39"/>
  <c r="J31" i="39"/>
  <c r="K31" i="39"/>
  <c r="D32" i="39"/>
  <c r="E32" i="39"/>
  <c r="F32" i="39"/>
  <c r="G32" i="39"/>
  <c r="H32" i="39"/>
  <c r="I32" i="39"/>
  <c r="J32" i="39"/>
  <c r="K32" i="39"/>
  <c r="D33" i="39"/>
  <c r="E33" i="39"/>
  <c r="F33" i="39"/>
  <c r="G33" i="39"/>
  <c r="H33" i="39"/>
  <c r="I33" i="39"/>
  <c r="J33" i="39"/>
  <c r="K33" i="39"/>
  <c r="D34" i="39"/>
  <c r="E34" i="39"/>
  <c r="F34" i="39"/>
  <c r="G34" i="39"/>
  <c r="H34" i="39"/>
  <c r="I34" i="39"/>
  <c r="J34" i="39"/>
  <c r="K34" i="39"/>
  <c r="D35" i="39"/>
  <c r="E35" i="39"/>
  <c r="F35" i="39"/>
  <c r="G35" i="39"/>
  <c r="H35" i="39"/>
  <c r="I35" i="39"/>
  <c r="J35" i="39"/>
  <c r="K35" i="39"/>
  <c r="D36" i="39"/>
  <c r="E36" i="39"/>
  <c r="F36" i="39"/>
  <c r="G36" i="39"/>
  <c r="H36" i="39"/>
  <c r="I36" i="39"/>
  <c r="J36" i="39"/>
  <c r="K36" i="39"/>
  <c r="D37" i="39"/>
  <c r="E37" i="39"/>
  <c r="F37" i="39"/>
  <c r="G37" i="39"/>
  <c r="H37" i="39"/>
  <c r="I37" i="39"/>
  <c r="J37" i="39"/>
  <c r="K37" i="39"/>
  <c r="D38" i="39"/>
  <c r="E38" i="39"/>
  <c r="F38" i="39"/>
  <c r="G38" i="39"/>
  <c r="H38" i="39"/>
  <c r="I38" i="39"/>
  <c r="J38" i="39"/>
  <c r="K38" i="39"/>
  <c r="D39" i="39"/>
  <c r="E39" i="39"/>
  <c r="F39" i="39"/>
  <c r="G39" i="39"/>
  <c r="H39" i="39"/>
  <c r="I39" i="39"/>
  <c r="J39" i="39"/>
  <c r="K39" i="39"/>
  <c r="D40" i="39"/>
  <c r="E40" i="39"/>
  <c r="F40" i="39"/>
  <c r="G40" i="39"/>
  <c r="H40" i="39"/>
  <c r="I40" i="39"/>
  <c r="J40" i="39"/>
  <c r="K40" i="39"/>
  <c r="D41" i="39"/>
  <c r="E41" i="39"/>
  <c r="F41" i="39"/>
  <c r="G41" i="39"/>
  <c r="H41" i="39"/>
  <c r="I41" i="39"/>
  <c r="J41" i="39"/>
  <c r="K41" i="39"/>
  <c r="D42" i="39"/>
  <c r="E42" i="39"/>
  <c r="F42" i="39"/>
  <c r="G42" i="39"/>
  <c r="H42" i="39"/>
  <c r="I42" i="39"/>
  <c r="J42" i="39"/>
  <c r="K42" i="39"/>
  <c r="D43" i="39"/>
  <c r="E43" i="39"/>
  <c r="F43" i="39"/>
  <c r="G43" i="39"/>
  <c r="H43" i="39"/>
  <c r="I43" i="39"/>
  <c r="J43" i="39"/>
  <c r="K43" i="39"/>
  <c r="D44" i="39"/>
  <c r="E44" i="39"/>
  <c r="F44" i="39"/>
  <c r="G44" i="39"/>
  <c r="H44" i="39"/>
  <c r="I44" i="39"/>
  <c r="J44" i="39"/>
  <c r="K44" i="39"/>
  <c r="D45" i="39"/>
  <c r="E45" i="39"/>
  <c r="F45" i="39"/>
  <c r="G45" i="39"/>
  <c r="H45" i="39"/>
  <c r="I45" i="39"/>
  <c r="J45" i="39"/>
  <c r="K45" i="39"/>
  <c r="D46" i="39"/>
  <c r="E46" i="39"/>
  <c r="F46" i="39"/>
  <c r="G46" i="39"/>
  <c r="H46" i="39"/>
  <c r="I46" i="39"/>
  <c r="J46" i="39"/>
  <c r="K46" i="39"/>
  <c r="D47" i="39"/>
  <c r="E47" i="39"/>
  <c r="F47" i="39"/>
  <c r="G47" i="39"/>
  <c r="H47" i="39"/>
  <c r="I47" i="39"/>
  <c r="J47" i="39"/>
  <c r="K47" i="39"/>
  <c r="D48" i="39"/>
  <c r="E48" i="39"/>
  <c r="F48" i="39"/>
  <c r="G48" i="39"/>
  <c r="H48" i="39"/>
  <c r="I48" i="39"/>
  <c r="J48" i="39"/>
  <c r="K48" i="39"/>
  <c r="D49" i="39"/>
  <c r="E49" i="39"/>
  <c r="F49" i="39"/>
  <c r="G49" i="39"/>
  <c r="H49" i="39"/>
  <c r="I49" i="39"/>
  <c r="J49" i="39"/>
  <c r="K49" i="39"/>
  <c r="D50" i="39"/>
  <c r="E50" i="39"/>
  <c r="F50" i="39"/>
  <c r="G50" i="39"/>
  <c r="H50" i="39"/>
  <c r="I50" i="39"/>
  <c r="J50" i="39"/>
  <c r="K50" i="39"/>
  <c r="D51" i="39"/>
  <c r="E51" i="39"/>
  <c r="F51" i="39"/>
  <c r="G51" i="39"/>
  <c r="H51" i="39"/>
  <c r="I51" i="39"/>
  <c r="J51" i="39"/>
  <c r="K51" i="39"/>
  <c r="D52" i="39"/>
  <c r="E52" i="39"/>
  <c r="F52" i="39"/>
  <c r="G52" i="39"/>
  <c r="H52" i="39"/>
  <c r="I52" i="39"/>
  <c r="J52" i="39"/>
  <c r="K52" i="39"/>
  <c r="D53" i="39"/>
  <c r="E53" i="39"/>
  <c r="F53" i="39"/>
  <c r="G53" i="39"/>
  <c r="H53" i="39"/>
  <c r="I53" i="39"/>
  <c r="J53" i="39"/>
  <c r="K53" i="39"/>
  <c r="D54" i="39"/>
  <c r="E54" i="39"/>
  <c r="F54" i="39"/>
  <c r="G54" i="39"/>
  <c r="H54" i="39"/>
  <c r="I54" i="39"/>
  <c r="J54" i="39"/>
  <c r="K54" i="39"/>
  <c r="D55" i="39"/>
  <c r="E55" i="39"/>
  <c r="F55" i="39"/>
  <c r="G55" i="39"/>
  <c r="H55" i="39"/>
  <c r="I55" i="39"/>
  <c r="J55" i="39"/>
  <c r="K55" i="39"/>
  <c r="D56" i="39"/>
  <c r="E56" i="39"/>
  <c r="F56" i="39"/>
  <c r="G56" i="39"/>
  <c r="H56" i="39"/>
  <c r="I56" i="39"/>
  <c r="J56" i="39"/>
  <c r="K56" i="39"/>
  <c r="D57" i="39"/>
  <c r="E57" i="39"/>
  <c r="F57" i="39"/>
  <c r="G57" i="39"/>
  <c r="H57" i="39"/>
  <c r="I57" i="39"/>
  <c r="J57" i="39"/>
  <c r="K57" i="39"/>
  <c r="D58" i="39"/>
  <c r="E58" i="39"/>
  <c r="F58" i="39"/>
  <c r="G58" i="39"/>
  <c r="H58" i="39"/>
  <c r="I58" i="39"/>
  <c r="J58" i="39"/>
  <c r="K58" i="39"/>
  <c r="D59" i="39"/>
  <c r="E59" i="39"/>
  <c r="F59" i="39"/>
  <c r="G59" i="39"/>
  <c r="H59" i="39"/>
  <c r="I59" i="39"/>
  <c r="J59" i="39"/>
  <c r="K59" i="39"/>
  <c r="D60" i="39"/>
  <c r="E60" i="39"/>
  <c r="F60" i="39"/>
  <c r="G60" i="39"/>
  <c r="H60" i="39"/>
  <c r="I60" i="39"/>
  <c r="J60" i="39"/>
  <c r="K60" i="39"/>
  <c r="D61" i="39"/>
  <c r="E61" i="39"/>
  <c r="F61" i="39"/>
  <c r="G61" i="39"/>
  <c r="H61" i="39"/>
  <c r="I61" i="39"/>
  <c r="J61" i="39"/>
  <c r="K61" i="39"/>
  <c r="D62" i="39"/>
  <c r="E62" i="39"/>
  <c r="F62" i="39"/>
  <c r="G62" i="39"/>
  <c r="H62" i="39"/>
  <c r="I62" i="39"/>
  <c r="J62" i="39"/>
  <c r="K62" i="39"/>
  <c r="D63" i="39"/>
  <c r="E63" i="39"/>
  <c r="F63" i="39"/>
  <c r="G63" i="39"/>
  <c r="H63" i="39"/>
  <c r="I63" i="39"/>
  <c r="J63" i="39"/>
  <c r="K63" i="39"/>
  <c r="D64" i="39"/>
  <c r="E64" i="39"/>
  <c r="F64" i="39"/>
  <c r="G64" i="39"/>
  <c r="H64" i="39"/>
  <c r="I64" i="39"/>
  <c r="J64" i="39"/>
  <c r="K64" i="39"/>
  <c r="D65" i="39"/>
  <c r="E65" i="39"/>
  <c r="F65" i="39"/>
  <c r="G65" i="39"/>
  <c r="H65" i="39"/>
  <c r="I65" i="39"/>
  <c r="J65" i="39"/>
  <c r="K65" i="39"/>
  <c r="D66" i="39"/>
  <c r="E66" i="39"/>
  <c r="F66" i="39"/>
  <c r="G66" i="39"/>
  <c r="H66" i="39"/>
  <c r="I66" i="39"/>
  <c r="J66" i="39"/>
  <c r="K66" i="39"/>
  <c r="D67" i="39"/>
  <c r="E67" i="39"/>
  <c r="F67" i="39"/>
  <c r="G67" i="39"/>
  <c r="H67" i="39"/>
  <c r="I67" i="39"/>
  <c r="J67" i="39"/>
  <c r="K67" i="39"/>
  <c r="D68" i="39"/>
  <c r="E68" i="39"/>
  <c r="F68" i="39"/>
  <c r="G68" i="39"/>
  <c r="H68" i="39"/>
  <c r="I68" i="39"/>
  <c r="J68" i="39"/>
  <c r="K68" i="39"/>
  <c r="D69" i="39"/>
  <c r="E69" i="39"/>
  <c r="F69" i="39"/>
  <c r="G69" i="39"/>
  <c r="H69" i="39"/>
  <c r="I69" i="39"/>
  <c r="J69" i="39"/>
  <c r="K69" i="39"/>
  <c r="D70" i="39"/>
  <c r="E70" i="39"/>
  <c r="F70" i="39"/>
  <c r="G70" i="39"/>
  <c r="H70" i="39"/>
  <c r="I70" i="39"/>
  <c r="J70" i="39"/>
  <c r="K70" i="39"/>
  <c r="D71" i="39"/>
  <c r="E71" i="39"/>
  <c r="F71" i="39"/>
  <c r="G71" i="39"/>
  <c r="H71" i="39"/>
  <c r="I71" i="39"/>
  <c r="J71" i="39"/>
  <c r="K71" i="39"/>
  <c r="D72" i="39"/>
  <c r="E72" i="39"/>
  <c r="F72" i="39"/>
  <c r="G72" i="39"/>
  <c r="H72" i="39"/>
  <c r="I72" i="39"/>
  <c r="J72" i="39"/>
  <c r="K72" i="39"/>
  <c r="D73" i="39"/>
  <c r="E73" i="39"/>
  <c r="F73" i="39"/>
  <c r="G73" i="39"/>
  <c r="H73" i="39"/>
  <c r="I73" i="39"/>
  <c r="J73" i="39"/>
  <c r="K73" i="39"/>
  <c r="D74" i="39"/>
  <c r="E74" i="39"/>
  <c r="F74" i="39"/>
  <c r="G74" i="39"/>
  <c r="H74" i="39"/>
  <c r="I74" i="39"/>
  <c r="J74" i="39"/>
  <c r="K74" i="39"/>
  <c r="D75" i="39"/>
  <c r="E75" i="39"/>
  <c r="F75" i="39"/>
  <c r="G75" i="39"/>
  <c r="H75" i="39"/>
  <c r="I75" i="39"/>
  <c r="J75" i="39"/>
  <c r="K75" i="39"/>
  <c r="D76" i="39"/>
  <c r="E76" i="39"/>
  <c r="F76" i="39"/>
  <c r="G76" i="39"/>
  <c r="H76" i="39"/>
  <c r="I76" i="39"/>
  <c r="J76" i="39"/>
  <c r="K76" i="39"/>
  <c r="D77" i="39"/>
  <c r="E77" i="39"/>
  <c r="F77" i="39"/>
  <c r="G77" i="39"/>
  <c r="H77" i="39"/>
  <c r="I77" i="39"/>
  <c r="J77" i="39"/>
  <c r="K77" i="39"/>
  <c r="D78" i="39"/>
  <c r="E78" i="39"/>
  <c r="F78" i="39"/>
  <c r="G78" i="39"/>
  <c r="H78" i="39"/>
  <c r="I78" i="39"/>
  <c r="J78" i="39"/>
  <c r="K78" i="39"/>
  <c r="D79" i="39"/>
  <c r="E79" i="39"/>
  <c r="F79" i="39"/>
  <c r="G79" i="39"/>
  <c r="H79" i="39"/>
  <c r="I79" i="39"/>
  <c r="J79" i="39"/>
  <c r="K79" i="39"/>
  <c r="D80" i="39"/>
  <c r="E80" i="39"/>
  <c r="F80" i="39"/>
  <c r="G80" i="39"/>
  <c r="H80" i="39"/>
  <c r="I80" i="39"/>
  <c r="J80" i="39"/>
  <c r="K80" i="39"/>
  <c r="D81" i="39"/>
  <c r="E81" i="39"/>
  <c r="F81" i="39"/>
  <c r="G81" i="39"/>
  <c r="H81" i="39"/>
  <c r="I81" i="39"/>
  <c r="J81" i="39"/>
  <c r="K81" i="39"/>
  <c r="D82" i="39"/>
  <c r="E82" i="39"/>
  <c r="F82" i="39"/>
  <c r="G82" i="39"/>
  <c r="H82" i="39"/>
  <c r="I82" i="39"/>
  <c r="J82" i="39"/>
  <c r="K82" i="39"/>
  <c r="D83" i="39"/>
  <c r="E83" i="39"/>
  <c r="F83" i="39"/>
  <c r="G83" i="39"/>
  <c r="H83" i="39"/>
  <c r="I83" i="39"/>
  <c r="J83" i="39"/>
  <c r="K83" i="39"/>
  <c r="D84" i="39"/>
  <c r="E84" i="39"/>
  <c r="F84" i="39"/>
  <c r="G84" i="39"/>
  <c r="H84" i="39"/>
  <c r="I84" i="39"/>
  <c r="J84" i="39"/>
  <c r="K84" i="39"/>
  <c r="D85" i="39"/>
  <c r="E85" i="39"/>
  <c r="F85" i="39"/>
  <c r="G85" i="39"/>
  <c r="H85" i="39"/>
  <c r="I85" i="39"/>
  <c r="J85" i="39"/>
  <c r="K85" i="39"/>
  <c r="B331" i="39"/>
  <c r="B330" i="39"/>
  <c r="B329" i="39"/>
  <c r="B328" i="39"/>
  <c r="B327" i="39"/>
  <c r="B326" i="39"/>
  <c r="B325" i="39"/>
  <c r="B324" i="39"/>
  <c r="B323" i="39"/>
  <c r="B322" i="39"/>
  <c r="B321" i="39"/>
  <c r="B320" i="39"/>
  <c r="B319" i="39"/>
  <c r="B318" i="39"/>
  <c r="B317" i="39"/>
  <c r="B316" i="39"/>
  <c r="B315" i="39"/>
  <c r="B314" i="39"/>
  <c r="B313" i="39"/>
  <c r="B312" i="39"/>
  <c r="B311" i="39"/>
  <c r="B310" i="39"/>
  <c r="B309" i="39"/>
  <c r="B308" i="39"/>
  <c r="B307" i="39"/>
  <c r="B306" i="39"/>
  <c r="B305" i="39"/>
  <c r="B304" i="39"/>
  <c r="B303" i="39"/>
  <c r="B302" i="39"/>
  <c r="B301" i="39"/>
  <c r="B300" i="39"/>
  <c r="B299" i="39"/>
  <c r="B298" i="39"/>
  <c r="B297" i="39"/>
  <c r="B296" i="39"/>
  <c r="B295" i="39"/>
  <c r="B294" i="39"/>
  <c r="B293" i="39"/>
  <c r="B292" i="39"/>
  <c r="B291" i="39"/>
  <c r="B290" i="39"/>
  <c r="B289" i="39"/>
  <c r="B288" i="39"/>
  <c r="B287" i="39"/>
  <c r="B286" i="39"/>
  <c r="B285" i="39"/>
  <c r="B284" i="39"/>
  <c r="B283" i="39"/>
  <c r="B282" i="39"/>
  <c r="B281" i="39"/>
  <c r="B280" i="39"/>
  <c r="B279" i="39"/>
  <c r="B278" i="39"/>
  <c r="B277" i="39"/>
  <c r="B276" i="39"/>
  <c r="B275" i="39"/>
  <c r="B274" i="39"/>
  <c r="B273" i="39"/>
  <c r="B249" i="39"/>
  <c r="B248" i="39"/>
  <c r="B247" i="39"/>
  <c r="B246" i="39"/>
  <c r="B245" i="39"/>
  <c r="B244" i="39"/>
  <c r="B243" i="39"/>
  <c r="B242" i="39"/>
  <c r="B241" i="39"/>
  <c r="B240" i="39"/>
  <c r="B239" i="39"/>
  <c r="B238" i="39"/>
  <c r="B237" i="39"/>
  <c r="B236" i="39"/>
  <c r="B235" i="39"/>
  <c r="B234" i="39"/>
  <c r="B233" i="39"/>
  <c r="B232" i="39"/>
  <c r="B231" i="39"/>
  <c r="B230" i="39"/>
  <c r="B229" i="39"/>
  <c r="B228" i="39"/>
  <c r="B227" i="39"/>
  <c r="B226" i="39"/>
  <c r="B225" i="39"/>
  <c r="B224" i="39"/>
  <c r="B223" i="39"/>
  <c r="B222" i="39"/>
  <c r="B221" i="39"/>
  <c r="B220" i="39"/>
  <c r="B219" i="39"/>
  <c r="B218" i="39"/>
  <c r="B217" i="39"/>
  <c r="B216" i="39"/>
  <c r="B215" i="39"/>
  <c r="B214" i="39"/>
  <c r="B213" i="39"/>
  <c r="B212" i="39"/>
  <c r="B211" i="39"/>
  <c r="B210" i="39"/>
  <c r="B209" i="39"/>
  <c r="B208" i="39"/>
  <c r="B207" i="39"/>
  <c r="B206" i="39"/>
  <c r="B205" i="39"/>
  <c r="B204" i="39"/>
  <c r="B203" i="39"/>
  <c r="B202" i="39"/>
  <c r="B201" i="39"/>
  <c r="B200" i="39"/>
  <c r="B199" i="39"/>
  <c r="B198" i="39"/>
  <c r="B197" i="39"/>
  <c r="B196" i="39"/>
  <c r="B195" i="39"/>
  <c r="B194" i="39"/>
  <c r="B193" i="39"/>
  <c r="B192" i="39"/>
  <c r="B191" i="39"/>
  <c r="B167" i="39"/>
  <c r="B166" i="39"/>
  <c r="B165" i="39"/>
  <c r="B164" i="39"/>
  <c r="B163" i="39"/>
  <c r="B162" i="39"/>
  <c r="B161" i="39"/>
  <c r="B160" i="39"/>
  <c r="B159" i="39"/>
  <c r="B158" i="39"/>
  <c r="B157" i="39"/>
  <c r="B156" i="39"/>
  <c r="B155" i="39"/>
  <c r="B154" i="39"/>
  <c r="B153" i="39"/>
  <c r="B152" i="39"/>
  <c r="B151" i="39"/>
  <c r="B150" i="39"/>
  <c r="B149" i="39"/>
  <c r="B148" i="39"/>
  <c r="B147" i="39"/>
  <c r="B146" i="39"/>
  <c r="B145" i="39"/>
  <c r="B144" i="39"/>
  <c r="B143" i="39"/>
  <c r="B142" i="39"/>
  <c r="B141" i="39"/>
  <c r="B140" i="39"/>
  <c r="B139" i="39"/>
  <c r="B138" i="39"/>
  <c r="B137" i="39"/>
  <c r="B136" i="39"/>
  <c r="B135" i="39"/>
  <c r="B134" i="39"/>
  <c r="B133" i="39"/>
  <c r="B132" i="39"/>
  <c r="B131" i="39"/>
  <c r="B130" i="39"/>
  <c r="B129" i="39"/>
  <c r="B128" i="39"/>
  <c r="B127" i="39"/>
  <c r="B126" i="39"/>
  <c r="B125" i="39"/>
  <c r="B124" i="39"/>
  <c r="B123" i="39"/>
  <c r="B122" i="39"/>
  <c r="B121" i="39"/>
  <c r="B120" i="39"/>
  <c r="B119" i="39"/>
  <c r="B118" i="39"/>
  <c r="B117" i="39"/>
  <c r="B116" i="39"/>
  <c r="B115" i="39"/>
  <c r="B114" i="39"/>
  <c r="B113" i="39"/>
  <c r="B112" i="39"/>
  <c r="B111" i="39"/>
  <c r="B110" i="39"/>
  <c r="B109" i="39"/>
  <c r="B60" i="39"/>
  <c r="B61" i="39"/>
  <c r="B62" i="39"/>
  <c r="B63" i="39"/>
  <c r="B64" i="39"/>
  <c r="B65" i="39"/>
  <c r="B66" i="39"/>
  <c r="B67" i="39"/>
  <c r="B68" i="39"/>
  <c r="B69" i="39"/>
  <c r="B70" i="39"/>
  <c r="B71" i="39"/>
  <c r="B72" i="39"/>
  <c r="B73" i="39"/>
  <c r="B74" i="39"/>
  <c r="B75" i="39"/>
  <c r="B76" i="39"/>
  <c r="B77" i="39"/>
  <c r="B78" i="39"/>
  <c r="B79" i="39"/>
  <c r="B80" i="39"/>
  <c r="B81" i="39"/>
  <c r="B82" i="39"/>
  <c r="B83" i="39"/>
  <c r="B84" i="39"/>
  <c r="B85" i="39"/>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48" i="1"/>
  <c r="C23" i="45"/>
  <c r="C47" i="1"/>
  <c r="B2" i="37"/>
  <c r="B1" i="37"/>
  <c r="C20" i="45"/>
  <c r="C21" i="45"/>
  <c r="C86" i="45" s="1"/>
  <c r="F191" i="15"/>
  <c r="E191" i="15"/>
  <c r="D191" i="15"/>
  <c r="C191" i="15"/>
  <c r="AL14" i="44"/>
  <c r="AL15" i="44"/>
  <c r="AL16" i="44"/>
  <c r="AL17" i="44"/>
  <c r="AL18" i="44"/>
  <c r="AL13" i="44"/>
  <c r="B2" i="10"/>
  <c r="J18" i="14"/>
  <c r="K18" i="14"/>
  <c r="I79" i="11"/>
  <c r="J79" i="11"/>
  <c r="I64" i="11"/>
  <c r="J64" i="11"/>
  <c r="K64" i="11"/>
  <c r="I115" i="10"/>
  <c r="J115" i="10"/>
  <c r="I195" i="1"/>
  <c r="I156" i="1"/>
  <c r="C125" i="1"/>
  <c r="C86" i="1"/>
  <c r="C11" i="1"/>
  <c r="C256" i="39"/>
  <c r="C174" i="39"/>
  <c r="D58" i="25"/>
  <c r="B30" i="31"/>
  <c r="B29" i="31"/>
  <c r="B28" i="31"/>
  <c r="B71" i="15" s="1"/>
  <c r="B27" i="31"/>
  <c r="B26" i="31"/>
  <c r="B25" i="31"/>
  <c r="B24" i="31"/>
  <c r="V1" i="46"/>
  <c r="B84" i="10"/>
  <c r="B85"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27" i="39"/>
  <c r="B28" i="39"/>
  <c r="B29" i="39"/>
  <c r="B30" i="39"/>
  <c r="B31" i="39"/>
  <c r="B32" i="39"/>
  <c r="B33" i="39"/>
  <c r="B34" i="39"/>
  <c r="B35" i="39"/>
  <c r="B36" i="39"/>
  <c r="B37" i="39"/>
  <c r="B38" i="39"/>
  <c r="B39" i="39"/>
  <c r="B40" i="39"/>
  <c r="B41" i="39"/>
  <c r="B42" i="39"/>
  <c r="B43" i="39"/>
  <c r="B44" i="39"/>
  <c r="B45" i="39"/>
  <c r="E195" i="1"/>
  <c r="B2" i="48"/>
  <c r="B1" i="48"/>
  <c r="B3" i="15"/>
  <c r="C19" i="45"/>
  <c r="BQ26" i="46"/>
  <c r="AL26" i="46"/>
  <c r="BQ25" i="46"/>
  <c r="BQ24" i="46"/>
  <c r="AL17" i="46"/>
  <c r="V2" i="46"/>
  <c r="C125" i="45"/>
  <c r="C103" i="45" s="1"/>
  <c r="C124" i="45"/>
  <c r="C123" i="45"/>
  <c r="C122" i="45"/>
  <c r="C121" i="45"/>
  <c r="C120" i="45"/>
  <c r="C119" i="45"/>
  <c r="C113" i="45"/>
  <c r="C104" i="45"/>
  <c r="C98" i="45"/>
  <c r="C100" i="45" s="1"/>
  <c r="C101" i="45" s="1"/>
  <c r="C97" i="45"/>
  <c r="C94" i="45"/>
  <c r="C93" i="45"/>
  <c r="C92" i="45"/>
  <c r="C90" i="45"/>
  <c r="C91" i="45" s="1"/>
  <c r="C89" i="45"/>
  <c r="C74" i="45"/>
  <c r="C73" i="45"/>
  <c r="C72" i="45"/>
  <c r="C75" i="45" s="1"/>
  <c r="C70" i="45"/>
  <c r="C69" i="45"/>
  <c r="C68" i="45"/>
  <c r="C63" i="45"/>
  <c r="C64" i="45"/>
  <c r="C55" i="45" s="1"/>
  <c r="C56" i="45"/>
  <c r="C54" i="45" s="1"/>
  <c r="C58" i="45" s="1"/>
  <c r="C53" i="45"/>
  <c r="C50" i="45"/>
  <c r="C37" i="45"/>
  <c r="C36" i="45"/>
  <c r="C34" i="45"/>
  <c r="C30" i="45"/>
  <c r="C28" i="45"/>
  <c r="C26" i="45"/>
  <c r="C16" i="45"/>
  <c r="C15" i="45"/>
  <c r="C14" i="45"/>
  <c r="C13" i="45"/>
  <c r="C12" i="45"/>
  <c r="C10" i="45"/>
  <c r="C9" i="45"/>
  <c r="B4" i="38"/>
  <c r="H39" i="44"/>
  <c r="D29" i="44"/>
  <c r="D26" i="44"/>
  <c r="D25" i="44"/>
  <c r="G212" i="43"/>
  <c r="F212" i="43"/>
  <c r="E212" i="43"/>
  <c r="D212" i="43"/>
  <c r="M207" i="43"/>
  <c r="L207" i="43"/>
  <c r="K207" i="43"/>
  <c r="J207" i="43"/>
  <c r="I207" i="43"/>
  <c r="H207" i="43"/>
  <c r="G207" i="43"/>
  <c r="F207" i="43"/>
  <c r="E207" i="43"/>
  <c r="D207" i="43"/>
  <c r="C127" i="42"/>
  <c r="H64" i="11"/>
  <c r="G64" i="11"/>
  <c r="F64" i="11"/>
  <c r="E64" i="11"/>
  <c r="D64" i="11"/>
  <c r="C64" i="11"/>
  <c r="C115" i="10"/>
  <c r="E115" i="10"/>
  <c r="F115" i="10"/>
  <c r="G115" i="10"/>
  <c r="H115" i="10"/>
  <c r="K115" i="10"/>
  <c r="D115" i="10"/>
  <c r="B2" i="39"/>
  <c r="B1" i="39"/>
  <c r="B46" i="39"/>
  <c r="B47" i="39"/>
  <c r="B48" i="39"/>
  <c r="B49" i="39"/>
  <c r="B50" i="39"/>
  <c r="B51" i="39"/>
  <c r="B52" i="39"/>
  <c r="B53" i="39"/>
  <c r="B54" i="39"/>
  <c r="B55" i="39"/>
  <c r="B56" i="39"/>
  <c r="B57" i="39"/>
  <c r="B58" i="39"/>
  <c r="B59" i="39"/>
  <c r="B39" i="11"/>
  <c r="B28" i="11"/>
  <c r="B6" i="11"/>
  <c r="G62" i="25"/>
  <c r="B3" i="38"/>
  <c r="B2" i="34"/>
  <c r="B1" i="34"/>
  <c r="B2" i="33"/>
  <c r="B1" i="33"/>
  <c r="B2" i="32"/>
  <c r="B1" i="32"/>
  <c r="B2" i="31"/>
  <c r="B1" i="31"/>
  <c r="B2" i="27"/>
  <c r="B1" i="27"/>
  <c r="B2" i="26"/>
  <c r="B1" i="26"/>
  <c r="B2" i="25"/>
  <c r="B1" i="25"/>
  <c r="B2" i="24"/>
  <c r="B1" i="24"/>
  <c r="D145" i="15"/>
  <c r="B2" i="15"/>
  <c r="B1" i="15"/>
  <c r="F18" i="14"/>
  <c r="B2" i="14"/>
  <c r="B1" i="14"/>
  <c r="K79" i="11"/>
  <c r="H79" i="11"/>
  <c r="G79" i="11"/>
  <c r="F79" i="11"/>
  <c r="E79" i="11"/>
  <c r="D79" i="11"/>
  <c r="C79" i="11"/>
  <c r="B46" i="11"/>
  <c r="B45" i="11"/>
  <c r="B44" i="11"/>
  <c r="B43" i="11"/>
  <c r="B42" i="11"/>
  <c r="B41" i="11"/>
  <c r="B40" i="11"/>
  <c r="B24" i="11"/>
  <c r="B23" i="11"/>
  <c r="B22" i="11"/>
  <c r="B21" i="11"/>
  <c r="B20" i="11"/>
  <c r="B19" i="11"/>
  <c r="B18" i="11"/>
  <c r="B2" i="13"/>
  <c r="B1" i="13"/>
  <c r="B2" i="11"/>
  <c r="B1" i="11"/>
  <c r="B2" i="6"/>
  <c r="B1" i="6"/>
  <c r="B2" i="5"/>
  <c r="B1" i="5"/>
  <c r="B2" i="1"/>
  <c r="B1" i="1"/>
  <c r="K156" i="1"/>
  <c r="H156" i="1"/>
  <c r="G156" i="1"/>
  <c r="F156" i="1"/>
  <c r="E156" i="1"/>
  <c r="C156" i="1"/>
  <c r="H62" i="25"/>
  <c r="I62" i="25"/>
  <c r="J21" i="39"/>
  <c r="H26" i="39"/>
  <c r="J24" i="39"/>
  <c r="H18" i="39"/>
  <c r="E17" i="39"/>
  <c r="G14" i="39"/>
  <c r="E23" i="39"/>
  <c r="K22" i="39"/>
  <c r="G18" i="39"/>
  <c r="K17" i="39"/>
  <c r="H16" i="39"/>
  <c r="E11" i="39"/>
  <c r="I22" i="39"/>
  <c r="F21" i="39"/>
  <c r="L62" i="25"/>
  <c r="I17" i="31"/>
  <c r="J62" i="25"/>
  <c r="D52" i="25"/>
  <c r="D62" i="25"/>
  <c r="E62" i="25"/>
  <c r="K62" i="25"/>
  <c r="L52" i="25"/>
  <c r="G52" i="25"/>
  <c r="J52" i="25"/>
  <c r="G17" i="31"/>
  <c r="E96" i="15"/>
  <c r="D96" i="15"/>
  <c r="C96" i="15"/>
  <c r="F96" i="15"/>
  <c r="H96" i="15"/>
  <c r="E14" i="39"/>
  <c r="C102" i="45"/>
  <c r="C80" i="45"/>
  <c r="E18" i="14"/>
  <c r="E17" i="27"/>
  <c r="C79" i="45"/>
  <c r="I52" i="25"/>
  <c r="I31" i="31"/>
  <c r="H31" i="31"/>
  <c r="C83" i="45"/>
  <c r="B3" i="14" s="1"/>
  <c r="G18" i="14"/>
  <c r="G23" i="27"/>
  <c r="C18" i="14"/>
  <c r="F17" i="31"/>
  <c r="C99" i="45"/>
  <c r="H18" i="14"/>
  <c r="B3" i="13"/>
  <c r="C57" i="45"/>
  <c r="C22" i="45" s="1"/>
  <c r="C59" i="45"/>
  <c r="C60" i="45" s="1"/>
  <c r="J17" i="31"/>
  <c r="C65" i="45"/>
  <c r="C82" i="45"/>
  <c r="B3" i="24"/>
  <c r="B3" i="5"/>
  <c r="B3" i="48"/>
  <c r="E160" i="15"/>
  <c r="D160" i="15"/>
  <c r="G160" i="15"/>
  <c r="I114" i="15"/>
  <c r="G114" i="15"/>
  <c r="E161" i="15"/>
  <c r="D26" i="39"/>
  <c r="G24" i="39"/>
  <c r="E128" i="10"/>
  <c r="E19" i="39"/>
  <c r="I19" i="39"/>
  <c r="K14" i="39"/>
  <c r="H21" i="39"/>
  <c r="H13" i="39"/>
  <c r="E21" i="39"/>
  <c r="J13" i="39"/>
  <c r="E146" i="10"/>
  <c r="I18" i="39"/>
  <c r="E15" i="39"/>
  <c r="J26" i="39"/>
  <c r="F128" i="10"/>
  <c r="G51" i="15"/>
  <c r="E51" i="15"/>
  <c r="J22" i="39"/>
  <c r="I145" i="15"/>
  <c r="F22" i="39"/>
  <c r="H11" i="39"/>
  <c r="E25" i="39"/>
  <c r="I160" i="15"/>
  <c r="C160" i="15"/>
  <c r="C161" i="15" s="1"/>
  <c r="H22" i="39"/>
  <c r="H145" i="15"/>
  <c r="H191" i="15"/>
  <c r="D13" i="39"/>
  <c r="D22" i="39"/>
  <c r="G102" i="10"/>
  <c r="J191" i="15"/>
  <c r="J145" i="15"/>
  <c r="I11" i="39"/>
  <c r="B25" i="39"/>
  <c r="G26" i="39"/>
  <c r="B265" i="39"/>
  <c r="I23" i="39"/>
  <c r="K13" i="39"/>
  <c r="B267" i="39"/>
  <c r="J160" i="15"/>
  <c r="D51" i="15"/>
  <c r="H160" i="15"/>
  <c r="J146" i="10"/>
  <c r="J16" i="39"/>
  <c r="H25" i="39"/>
  <c r="G16" i="39"/>
  <c r="K24" i="39"/>
  <c r="E20" i="39"/>
  <c r="G11" i="39"/>
  <c r="I52" i="5"/>
  <c r="E42" i="1"/>
  <c r="E117" i="1"/>
  <c r="F17" i="27"/>
  <c r="I191" i="15"/>
  <c r="E114" i="15"/>
  <c r="D114" i="15"/>
  <c r="H161" i="15"/>
  <c r="K191" i="15"/>
  <c r="K145" i="15"/>
  <c r="K160" i="15"/>
  <c r="K161" i="15" s="1"/>
  <c r="B12" i="39"/>
  <c r="K16" i="39"/>
  <c r="K21" i="39"/>
  <c r="D19" i="39"/>
  <c r="D23" i="39"/>
  <c r="B176" i="39"/>
  <c r="E16" i="39"/>
  <c r="E24" i="39"/>
  <c r="C42" i="5"/>
  <c r="H20" i="39"/>
  <c r="B14" i="39"/>
  <c r="I17" i="39"/>
  <c r="B182" i="39"/>
  <c r="B14" i="10"/>
  <c r="F17" i="39"/>
  <c r="B270" i="39"/>
  <c r="F42" i="1"/>
  <c r="B96" i="39"/>
  <c r="B260" i="39"/>
  <c r="J11" i="39"/>
  <c r="D15" i="39"/>
  <c r="H19" i="39"/>
  <c r="J14" i="39"/>
  <c r="I12" i="39"/>
  <c r="E18" i="39"/>
  <c r="K12" i="39"/>
  <c r="D12" i="39"/>
  <c r="I21" i="39"/>
  <c r="K26" i="39"/>
  <c r="B16" i="39"/>
  <c r="H318" i="34"/>
  <c r="F25" i="39"/>
  <c r="F26" i="39"/>
  <c r="K146" i="10"/>
  <c r="K20" i="39"/>
  <c r="G17" i="39"/>
  <c r="J25" i="39"/>
  <c r="B103" i="39"/>
  <c r="D146" i="10"/>
  <c r="D11" i="39"/>
  <c r="H24" i="39"/>
  <c r="J17" i="39"/>
  <c r="F24" i="39"/>
  <c r="F23" i="39"/>
  <c r="J18" i="39"/>
  <c r="D17" i="39"/>
  <c r="H102" i="10"/>
  <c r="C146" i="10"/>
  <c r="I20" i="39"/>
  <c r="G128" i="10"/>
  <c r="H15" i="39"/>
  <c r="D21" i="39"/>
  <c r="H14" i="39"/>
  <c r="I102" i="10"/>
  <c r="B185" i="39"/>
  <c r="J12" i="39"/>
  <c r="F146" i="10"/>
  <c r="F18" i="39"/>
  <c r="H128" i="10"/>
  <c r="D20" i="39"/>
  <c r="G23" i="39"/>
  <c r="B21" i="10"/>
  <c r="I15" i="39"/>
  <c r="K19" i="39"/>
  <c r="H19" i="6"/>
  <c r="I23" i="27"/>
  <c r="J52" i="5"/>
  <c r="J33" i="6"/>
  <c r="I15" i="5"/>
  <c r="K23" i="27"/>
  <c r="H23" i="27"/>
  <c r="B178" i="39"/>
  <c r="B18" i="10"/>
  <c r="B18" i="39"/>
  <c r="B258" i="39"/>
  <c r="B264" i="39"/>
  <c r="B94" i="39"/>
  <c r="C39" i="45"/>
  <c r="C38" i="45"/>
  <c r="AL62" i="46"/>
  <c r="B104" i="39" l="1"/>
  <c r="B20" i="10"/>
  <c r="B15" i="10"/>
  <c r="B179" i="39"/>
  <c r="B22" i="10"/>
  <c r="J55" i="5"/>
  <c r="J57" i="5" s="1"/>
  <c r="B16" i="10"/>
  <c r="D18" i="39"/>
  <c r="D128" i="10"/>
  <c r="E13" i="39"/>
  <c r="B22" i="39"/>
  <c r="B261" i="39"/>
  <c r="B97" i="39"/>
  <c r="B25" i="10"/>
  <c r="B180" i="39"/>
  <c r="B24" i="39"/>
  <c r="B188" i="39"/>
  <c r="C52" i="5"/>
  <c r="C55" i="5" s="1"/>
  <c r="C57" i="5" s="1"/>
  <c r="B24" i="10"/>
  <c r="K15" i="5"/>
  <c r="K42" i="5"/>
  <c r="K25" i="5"/>
  <c r="B269" i="39"/>
  <c r="B187" i="39"/>
  <c r="B17" i="39"/>
  <c r="I332" i="39"/>
  <c r="B263" i="39"/>
  <c r="B268" i="39"/>
  <c r="E318" i="34"/>
  <c r="E102" i="10"/>
  <c r="G13" i="24"/>
  <c r="C13" i="24"/>
  <c r="D318" i="34"/>
  <c r="F20" i="39"/>
  <c r="D52" i="5"/>
  <c r="B93" i="39"/>
  <c r="B23" i="10"/>
  <c r="G22" i="39"/>
  <c r="B105" i="39"/>
  <c r="K18" i="39"/>
  <c r="I26" i="39"/>
  <c r="D168" i="39"/>
  <c r="B101" i="39"/>
  <c r="I42" i="1"/>
  <c r="J51" i="15"/>
  <c r="B99" i="39"/>
  <c r="G20" i="39"/>
  <c r="I146" i="10"/>
  <c r="D25" i="5"/>
  <c r="B175" i="39"/>
  <c r="B257" i="39"/>
  <c r="C15" i="5"/>
  <c r="B11" i="39"/>
  <c r="B17" i="10"/>
  <c r="C17" i="27"/>
  <c r="F318" i="34"/>
  <c r="I78" i="1"/>
  <c r="D332" i="39"/>
  <c r="J168" i="39"/>
  <c r="I13" i="24"/>
  <c r="F16" i="39"/>
  <c r="E332" i="39"/>
  <c r="H332" i="39"/>
  <c r="I14" i="39"/>
  <c r="D86" i="10"/>
  <c r="K25" i="39"/>
  <c r="J13" i="24"/>
  <c r="K250" i="39"/>
  <c r="D117" i="1"/>
  <c r="D25" i="39"/>
  <c r="B184" i="39"/>
  <c r="K11" i="39"/>
  <c r="F11" i="39"/>
  <c r="G25" i="39"/>
  <c r="B20" i="39"/>
  <c r="D14" i="39"/>
  <c r="E12" i="39"/>
  <c r="B189" i="39"/>
  <c r="B19" i="10"/>
  <c r="F14" i="39"/>
  <c r="E26" i="39"/>
  <c r="C332" i="39"/>
  <c r="I51" i="15"/>
  <c r="F13" i="24"/>
  <c r="B183" i="39"/>
  <c r="C42" i="1"/>
  <c r="D42" i="5"/>
  <c r="D55" i="5" s="1"/>
  <c r="D57" i="5" s="1"/>
  <c r="B26" i="10"/>
  <c r="I24" i="39"/>
  <c r="H146" i="10"/>
  <c r="D24" i="39"/>
  <c r="H86" i="10"/>
  <c r="H135" i="10" s="1"/>
  <c r="F86" i="10"/>
  <c r="J250" i="39"/>
  <c r="C250" i="39"/>
  <c r="I16" i="39"/>
  <c r="E13" i="24"/>
  <c r="E250" i="39"/>
  <c r="K102" i="10"/>
  <c r="D102" i="10"/>
  <c r="J102" i="10"/>
  <c r="J135" i="10" s="1"/>
  <c r="H250" i="39"/>
  <c r="C86" i="10"/>
  <c r="D15" i="5"/>
  <c r="I318" i="34"/>
  <c r="J23" i="39"/>
  <c r="I128" i="10"/>
  <c r="D156" i="1"/>
  <c r="B262" i="39"/>
  <c r="C33" i="6"/>
  <c r="G15" i="39"/>
  <c r="J20" i="39"/>
  <c r="H13" i="24"/>
  <c r="F12" i="39"/>
  <c r="H42" i="1"/>
  <c r="J156" i="1"/>
  <c r="B190" i="39"/>
  <c r="F19" i="39"/>
  <c r="J19" i="39"/>
  <c r="B108" i="39"/>
  <c r="B107" i="39"/>
  <c r="B266" i="39"/>
  <c r="C86" i="39"/>
  <c r="C102" i="10"/>
  <c r="H51" i="15"/>
  <c r="B26" i="39"/>
  <c r="G19" i="39"/>
  <c r="F102" i="10"/>
  <c r="E86" i="10"/>
  <c r="I86" i="10"/>
  <c r="G318" i="34"/>
  <c r="J318" i="34"/>
  <c r="K332" i="39"/>
  <c r="G42" i="1"/>
  <c r="H12" i="39"/>
  <c r="H78" i="1"/>
  <c r="C25" i="5"/>
  <c r="H23" i="39"/>
  <c r="K42" i="1"/>
  <c r="K318" i="34"/>
  <c r="C128" i="10"/>
  <c r="F13" i="39"/>
  <c r="E22" i="39"/>
  <c r="I25" i="39"/>
  <c r="G21" i="39"/>
  <c r="K23" i="39"/>
  <c r="G250" i="39"/>
  <c r="C42" i="45"/>
  <c r="C40" i="45"/>
  <c r="C41" i="45"/>
  <c r="K19" i="6"/>
  <c r="E22" i="15"/>
  <c r="G13" i="39"/>
  <c r="F168" i="39"/>
  <c r="H17" i="39"/>
  <c r="G168" i="39"/>
  <c r="H168" i="39"/>
  <c r="I13" i="39"/>
  <c r="J15" i="39"/>
  <c r="I168" i="39"/>
  <c r="K13" i="24"/>
  <c r="J332" i="39"/>
  <c r="D13" i="24"/>
  <c r="G332" i="39"/>
  <c r="J86" i="10"/>
  <c r="F332" i="39"/>
  <c r="D250" i="39"/>
  <c r="D16" i="39"/>
  <c r="C168" i="39"/>
  <c r="F250" i="39"/>
  <c r="K168" i="39"/>
  <c r="I250" i="39"/>
  <c r="G86" i="10"/>
  <c r="G135" i="10" s="1"/>
  <c r="F15" i="39"/>
  <c r="E168" i="39"/>
  <c r="K86" i="10"/>
  <c r="K15" i="39"/>
  <c r="F160" i="15"/>
  <c r="F161" i="15" s="1"/>
  <c r="J117" i="1"/>
  <c r="G161" i="15"/>
  <c r="J161" i="15"/>
  <c r="J114" i="15"/>
  <c r="F114" i="15"/>
  <c r="D161" i="15"/>
  <c r="V3" i="46"/>
  <c r="B3" i="37"/>
  <c r="J96" i="15"/>
  <c r="I55" i="5"/>
  <c r="I57" i="5" s="1"/>
  <c r="J23" i="27"/>
  <c r="H15" i="5"/>
  <c r="H28" i="5" s="1"/>
  <c r="H30" i="5" s="1"/>
  <c r="B3" i="27"/>
  <c r="B3" i="25"/>
  <c r="B3" i="33"/>
  <c r="B3" i="1"/>
  <c r="B3" i="6"/>
  <c r="B3" i="34"/>
  <c r="B3" i="39"/>
  <c r="B3" i="11"/>
  <c r="B3" i="26"/>
  <c r="B3" i="32"/>
  <c r="B3" i="31"/>
  <c r="B2" i="38"/>
  <c r="K114" i="15"/>
  <c r="H42" i="5"/>
  <c r="E17" i="31"/>
  <c r="C17" i="31"/>
  <c r="F31" i="31"/>
  <c r="J42" i="1"/>
  <c r="G96" i="15"/>
  <c r="C106" i="45"/>
  <c r="C76" i="45"/>
  <c r="I161" i="15"/>
  <c r="C31" i="45"/>
  <c r="B177" i="39"/>
  <c r="B13" i="39"/>
  <c r="B13" i="10"/>
  <c r="B259" i="39"/>
  <c r="I25" i="5"/>
  <c r="I28" i="5" s="1"/>
  <c r="I30" i="5" s="1"/>
  <c r="E42" i="5"/>
  <c r="E55" i="5" s="1"/>
  <c r="E57" i="5" s="1"/>
  <c r="E25" i="5"/>
  <c r="E28" i="5" s="1"/>
  <c r="E30" i="5" s="1"/>
  <c r="J68" i="15"/>
  <c r="J26" i="27" s="1"/>
  <c r="J47" i="6"/>
  <c r="J17" i="27" s="1"/>
  <c r="K51" i="15"/>
  <c r="C32" i="45"/>
  <c r="C29" i="45"/>
  <c r="H52" i="5"/>
  <c r="C114" i="15"/>
  <c r="H114" i="15"/>
  <c r="H68" i="15"/>
  <c r="H26" i="27" s="1"/>
  <c r="H47" i="6"/>
  <c r="J19" i="6"/>
  <c r="D195" i="1"/>
  <c r="I33" i="6"/>
  <c r="F195" i="1"/>
  <c r="F23" i="27"/>
  <c r="E33" i="6"/>
  <c r="J25" i="5"/>
  <c r="J28" i="5" s="1"/>
  <c r="J30" i="5" s="1"/>
  <c r="D42" i="1"/>
  <c r="C117" i="1"/>
  <c r="G117" i="1"/>
  <c r="H25" i="5"/>
  <c r="G52" i="5"/>
  <c r="H52" i="25"/>
  <c r="F33" i="6"/>
  <c r="G33" i="6"/>
  <c r="F15" i="5"/>
  <c r="F28" i="5" s="1"/>
  <c r="F30" i="5" s="1"/>
  <c r="K117" i="1"/>
  <c r="F52" i="5"/>
  <c r="F55" i="5" s="1"/>
  <c r="F57" i="5" s="1"/>
  <c r="G42" i="5"/>
  <c r="G25" i="5"/>
  <c r="G28" i="5" s="1"/>
  <c r="G30" i="5" s="1"/>
  <c r="E61" i="44"/>
  <c r="E60" i="44"/>
  <c r="E72" i="44"/>
  <c r="E63" i="44"/>
  <c r="E70" i="44"/>
  <c r="E73" i="44"/>
  <c r="E66" i="44"/>
  <c r="E59" i="44"/>
  <c r="I41" i="44"/>
  <c r="I40" i="44"/>
  <c r="C43" i="45"/>
  <c r="I39" i="44"/>
  <c r="E62" i="44"/>
  <c r="I47" i="44"/>
  <c r="I42" i="44"/>
  <c r="E71" i="44"/>
  <c r="I54" i="44"/>
  <c r="E67" i="44"/>
  <c r="I53" i="44"/>
  <c r="I43" i="44"/>
  <c r="I52" i="44"/>
  <c r="I51" i="44"/>
  <c r="I50" i="44"/>
  <c r="E69" i="44"/>
  <c r="E65" i="44"/>
  <c r="I44" i="44"/>
  <c r="C46" i="45"/>
  <c r="E58" i="44"/>
  <c r="E68" i="44"/>
  <c r="E64" i="44"/>
  <c r="I48" i="44"/>
  <c r="I49" i="44"/>
  <c r="I45" i="44"/>
  <c r="I46" i="44"/>
  <c r="C49" i="45"/>
  <c r="K28" i="5" l="1"/>
  <c r="K30" i="5" s="1"/>
  <c r="D135" i="10"/>
  <c r="F135" i="10"/>
  <c r="E135" i="10"/>
  <c r="H86" i="39"/>
  <c r="C28" i="5"/>
  <c r="C30" i="5" s="1"/>
  <c r="J86" i="39"/>
  <c r="D33" i="6"/>
  <c r="K135" i="10"/>
  <c r="I86" i="39"/>
  <c r="K68" i="15"/>
  <c r="E86" i="39"/>
  <c r="D19" i="6"/>
  <c r="D86" i="39"/>
  <c r="C135" i="10"/>
  <c r="D28" i="5"/>
  <c r="D30" i="5" s="1"/>
  <c r="D17" i="27"/>
  <c r="K86" i="39"/>
  <c r="G86" i="39"/>
  <c r="I135" i="10"/>
  <c r="F86" i="39"/>
  <c r="D47" i="6"/>
  <c r="BV42" i="46"/>
  <c r="BM43" i="46"/>
  <c r="AU42" i="46"/>
  <c r="BD42" i="46"/>
  <c r="J59" i="15"/>
  <c r="J10" i="48"/>
  <c r="J9" i="24"/>
  <c r="J70" i="11"/>
  <c r="J92" i="39"/>
  <c r="J121" i="10"/>
  <c r="J63" i="5"/>
  <c r="J167" i="15"/>
  <c r="J11" i="15"/>
  <c r="J10" i="39"/>
  <c r="J30" i="34"/>
  <c r="J24" i="6"/>
  <c r="J11" i="34"/>
  <c r="J85" i="11"/>
  <c r="K10" i="33"/>
  <c r="J8" i="11"/>
  <c r="J104" i="15"/>
  <c r="J99" i="11"/>
  <c r="J19" i="34"/>
  <c r="J123" i="34"/>
  <c r="K9" i="25"/>
  <c r="J134" i="10"/>
  <c r="J38" i="6"/>
  <c r="J10" i="26"/>
  <c r="J9" i="31"/>
  <c r="J92" i="10"/>
  <c r="J311" i="34"/>
  <c r="J11" i="27"/>
  <c r="J54" i="11"/>
  <c r="J108" i="10"/>
  <c r="J10" i="32"/>
  <c r="J9" i="13"/>
  <c r="J141" i="10"/>
  <c r="J36" i="5"/>
  <c r="J19" i="24"/>
  <c r="J120" i="15"/>
  <c r="J23" i="31"/>
  <c r="K32" i="33"/>
  <c r="J10" i="10"/>
  <c r="J9" i="5"/>
  <c r="J9" i="14"/>
  <c r="J10" i="6"/>
  <c r="J164" i="1"/>
  <c r="J216" i="34"/>
  <c r="J152" i="15"/>
  <c r="J30" i="11"/>
  <c r="C9" i="13"/>
  <c r="C19" i="34"/>
  <c r="C11" i="15"/>
  <c r="C99" i="11"/>
  <c r="C134" i="10"/>
  <c r="C9" i="31"/>
  <c r="D10" i="33"/>
  <c r="C85" i="11"/>
  <c r="C23" i="31"/>
  <c r="C38" i="6"/>
  <c r="C167" i="15"/>
  <c r="C11" i="34"/>
  <c r="C10" i="6"/>
  <c r="C108" i="10"/>
  <c r="C123" i="34"/>
  <c r="C92" i="39"/>
  <c r="C9" i="24"/>
  <c r="C311" i="34"/>
  <c r="C216" i="34"/>
  <c r="C19" i="24"/>
  <c r="D32" i="33"/>
  <c r="C8" i="11"/>
  <c r="C10" i="32"/>
  <c r="C11" i="27"/>
  <c r="C24" i="6"/>
  <c r="C10" i="10"/>
  <c r="C141" i="10"/>
  <c r="C152" i="15"/>
  <c r="C9" i="14"/>
  <c r="C10" i="39"/>
  <c r="C121" i="10"/>
  <c r="C9" i="5"/>
  <c r="C10" i="26"/>
  <c r="D9" i="25"/>
  <c r="C70" i="11"/>
  <c r="C59" i="15"/>
  <c r="C30" i="11"/>
  <c r="C120" i="15"/>
  <c r="C92" i="10"/>
  <c r="C104" i="15"/>
  <c r="C36" i="5"/>
  <c r="C30" i="34"/>
  <c r="C63" i="5"/>
  <c r="C54" i="11"/>
  <c r="C164" i="1"/>
  <c r="C10" i="48"/>
  <c r="BD43" i="46"/>
  <c r="BV44" i="46"/>
  <c r="F120" i="15"/>
  <c r="F121" i="10"/>
  <c r="F9" i="31"/>
  <c r="F152" i="15"/>
  <c r="F36" i="5"/>
  <c r="F30" i="11"/>
  <c r="F23" i="31"/>
  <c r="F10" i="10"/>
  <c r="F9" i="24"/>
  <c r="F19" i="34"/>
  <c r="F167" i="15"/>
  <c r="F99" i="11"/>
  <c r="F92" i="10"/>
  <c r="F134" i="10"/>
  <c r="F54" i="11"/>
  <c r="F10" i="6"/>
  <c r="F9" i="13"/>
  <c r="F104" i="15"/>
  <c r="F85" i="11"/>
  <c r="F59" i="15"/>
  <c r="F11" i="27"/>
  <c r="F8" i="11"/>
  <c r="F24" i="6"/>
  <c r="F311" i="34"/>
  <c r="F11" i="15"/>
  <c r="F19" i="24"/>
  <c r="G32" i="33"/>
  <c r="F92" i="39"/>
  <c r="F9" i="5"/>
  <c r="F10" i="26"/>
  <c r="F9" i="14"/>
  <c r="F38" i="6"/>
  <c r="F63" i="5"/>
  <c r="F11" i="34"/>
  <c r="F141" i="10"/>
  <c r="F123" i="34"/>
  <c r="G10" i="33"/>
  <c r="F164" i="1"/>
  <c r="F108" i="10"/>
  <c r="G9" i="25"/>
  <c r="F216" i="34"/>
  <c r="F10" i="48"/>
  <c r="F30" i="34"/>
  <c r="F10" i="39"/>
  <c r="F70" i="11"/>
  <c r="F10" i="32"/>
  <c r="D121" i="10"/>
  <c r="D311" i="34"/>
  <c r="D123" i="34"/>
  <c r="D30" i="34"/>
  <c r="D70" i="11"/>
  <c r="D167" i="15"/>
  <c r="D10" i="26"/>
  <c r="D9" i="24"/>
  <c r="D24" i="6"/>
  <c r="D11" i="15"/>
  <c r="D8" i="11"/>
  <c r="D152" i="15"/>
  <c r="D63" i="5"/>
  <c r="D10" i="6"/>
  <c r="D38" i="6"/>
  <c r="D99" i="11"/>
  <c r="D10" i="48"/>
  <c r="D108" i="10"/>
  <c r="D54" i="11"/>
  <c r="D134" i="10"/>
  <c r="D23" i="31"/>
  <c r="D30" i="11"/>
  <c r="D10" i="10"/>
  <c r="D92" i="39"/>
  <c r="D9" i="31"/>
  <c r="D164" i="1"/>
  <c r="D9" i="13"/>
  <c r="D9" i="14"/>
  <c r="D36" i="5"/>
  <c r="D92" i="10"/>
  <c r="D104" i="15"/>
  <c r="D19" i="24"/>
  <c r="D19" i="34"/>
  <c r="D9" i="5"/>
  <c r="E10" i="33"/>
  <c r="D10" i="39"/>
  <c r="E9" i="25"/>
  <c r="D11" i="34"/>
  <c r="D85" i="11"/>
  <c r="D59" i="15"/>
  <c r="D120" i="15"/>
  <c r="D141" i="10"/>
  <c r="D10" i="32"/>
  <c r="E32" i="33"/>
  <c r="D11" i="27"/>
  <c r="D216" i="34"/>
  <c r="AL44" i="46"/>
  <c r="E30" i="11"/>
  <c r="F10" i="33"/>
  <c r="E59" i="15"/>
  <c r="E99" i="11"/>
  <c r="E10" i="39"/>
  <c r="E9" i="14"/>
  <c r="E38" i="6"/>
  <c r="E23" i="31"/>
  <c r="E10" i="48"/>
  <c r="E24" i="6"/>
  <c r="F9" i="25"/>
  <c r="E11" i="15"/>
  <c r="E108" i="10"/>
  <c r="E19" i="34"/>
  <c r="E92" i="10"/>
  <c r="E167" i="15"/>
  <c r="E9" i="13"/>
  <c r="E121" i="10"/>
  <c r="E164" i="1"/>
  <c r="E152" i="15"/>
  <c r="E216" i="34"/>
  <c r="E8" i="11"/>
  <c r="E70" i="11"/>
  <c r="F32" i="33"/>
  <c r="E92" i="39"/>
  <c r="E104" i="15"/>
  <c r="E141" i="10"/>
  <c r="E9" i="31"/>
  <c r="E11" i="34"/>
  <c r="E134" i="10"/>
  <c r="E9" i="24"/>
  <c r="E311" i="34"/>
  <c r="E30" i="34"/>
  <c r="E10" i="26"/>
  <c r="E36" i="5"/>
  <c r="E63" i="5"/>
  <c r="E9" i="5"/>
  <c r="E11" i="27"/>
  <c r="E19" i="24"/>
  <c r="E10" i="6"/>
  <c r="E10" i="10"/>
  <c r="E120" i="15"/>
  <c r="E54" i="11"/>
  <c r="E123" i="34"/>
  <c r="E85" i="11"/>
  <c r="E10" i="32"/>
  <c r="I134" i="10"/>
  <c r="J10" i="33"/>
  <c r="J32" i="33"/>
  <c r="I10" i="48"/>
  <c r="I120" i="15"/>
  <c r="I92" i="10"/>
  <c r="I10" i="6"/>
  <c r="I92" i="39"/>
  <c r="I19" i="24"/>
  <c r="I9" i="31"/>
  <c r="I36" i="5"/>
  <c r="I11" i="27"/>
  <c r="I216" i="34"/>
  <c r="I164" i="1"/>
  <c r="I11" i="15"/>
  <c r="I19" i="34"/>
  <c r="I54" i="11"/>
  <c r="J9" i="25"/>
  <c r="I30" i="11"/>
  <c r="I38" i="6"/>
  <c r="I10" i="26"/>
  <c r="I167" i="15"/>
  <c r="I311" i="34"/>
  <c r="I23" i="31"/>
  <c r="I70" i="11"/>
  <c r="I9" i="13"/>
  <c r="I59" i="15"/>
  <c r="I99" i="11"/>
  <c r="I10" i="32"/>
  <c r="I85" i="11"/>
  <c r="I30" i="34"/>
  <c r="I152" i="15"/>
  <c r="I123" i="34"/>
  <c r="I141" i="10"/>
  <c r="I11" i="34"/>
  <c r="I121" i="10"/>
  <c r="I8" i="11"/>
  <c r="I63" i="5"/>
  <c r="I24" i="6"/>
  <c r="I10" i="10"/>
  <c r="I108" i="10"/>
  <c r="I9" i="14"/>
  <c r="I10" i="39"/>
  <c r="I104" i="15"/>
  <c r="I9" i="5"/>
  <c r="I9" i="24"/>
  <c r="H11" i="34"/>
  <c r="H10" i="32"/>
  <c r="I32" i="33"/>
  <c r="H9" i="5"/>
  <c r="H10" i="10"/>
  <c r="H30" i="11"/>
  <c r="H70" i="11"/>
  <c r="H216" i="34"/>
  <c r="H8" i="11"/>
  <c r="H59" i="15"/>
  <c r="H9" i="13"/>
  <c r="H30" i="34"/>
  <c r="H164" i="1"/>
  <c r="H9" i="31"/>
  <c r="H11" i="27"/>
  <c r="H92" i="10"/>
  <c r="H19" i="24"/>
  <c r="H311" i="34"/>
  <c r="H10" i="6"/>
  <c r="H10" i="26"/>
  <c r="H9" i="14"/>
  <c r="H63" i="5"/>
  <c r="H123" i="34"/>
  <c r="I9" i="25"/>
  <c r="H120" i="15"/>
  <c r="H38" i="6"/>
  <c r="H19" i="34"/>
  <c r="H108" i="10"/>
  <c r="H134" i="10"/>
  <c r="H24" i="6"/>
  <c r="H36" i="5"/>
  <c r="H54" i="11"/>
  <c r="H167" i="15"/>
  <c r="H11" i="15"/>
  <c r="H10" i="39"/>
  <c r="I10" i="33"/>
  <c r="H85" i="11"/>
  <c r="H10" i="48"/>
  <c r="H99" i="11"/>
  <c r="H141" i="10"/>
  <c r="H23" i="31"/>
  <c r="H92" i="39"/>
  <c r="H121" i="10"/>
  <c r="H152" i="15"/>
  <c r="H9" i="24"/>
  <c r="H104" i="15"/>
  <c r="BM42" i="46"/>
  <c r="BD44" i="46"/>
  <c r="K164" i="1"/>
  <c r="K9" i="14"/>
  <c r="K19" i="24"/>
  <c r="K54" i="11"/>
  <c r="K10" i="48"/>
  <c r="K9" i="5"/>
  <c r="K11" i="27"/>
  <c r="K59" i="15"/>
  <c r="K85" i="11"/>
  <c r="K11" i="34"/>
  <c r="K108" i="10"/>
  <c r="K92" i="10"/>
  <c r="K38" i="6"/>
  <c r="K23" i="31"/>
  <c r="K19" i="34"/>
  <c r="K104" i="15"/>
  <c r="K10" i="10"/>
  <c r="K216" i="34"/>
  <c r="L9" i="25"/>
  <c r="K9" i="24"/>
  <c r="L10" i="33"/>
  <c r="K24" i="6"/>
  <c r="K99" i="11"/>
  <c r="K63" i="5"/>
  <c r="L32" i="33"/>
  <c r="K11" i="15"/>
  <c r="K120" i="15"/>
  <c r="K30" i="34"/>
  <c r="K92" i="39"/>
  <c r="K10" i="39"/>
  <c r="K311" i="34"/>
  <c r="K36" i="5"/>
  <c r="K134" i="10"/>
  <c r="K123" i="34"/>
  <c r="K70" i="11"/>
  <c r="K167" i="15"/>
  <c r="K10" i="26"/>
  <c r="K8" i="11"/>
  <c r="K121" i="10"/>
  <c r="K152" i="15"/>
  <c r="K9" i="31"/>
  <c r="K30" i="11"/>
  <c r="K141" i="10"/>
  <c r="K10" i="6"/>
  <c r="K9" i="13"/>
  <c r="K10" i="32"/>
  <c r="BV43" i="46"/>
  <c r="AL43" i="46"/>
  <c r="AU43" i="46"/>
  <c r="BM44" i="46"/>
  <c r="AU44" i="46"/>
  <c r="G99" i="11"/>
  <c r="G134" i="10"/>
  <c r="G9" i="13"/>
  <c r="G30" i="34"/>
  <c r="G92" i="39"/>
  <c r="G8" i="11"/>
  <c r="G10" i="48"/>
  <c r="G38" i="6"/>
  <c r="G24" i="6"/>
  <c r="G11" i="15"/>
  <c r="G9" i="31"/>
  <c r="G9" i="24"/>
  <c r="G108" i="10"/>
  <c r="G9" i="5"/>
  <c r="G19" i="24"/>
  <c r="G216" i="34"/>
  <c r="G19" i="34"/>
  <c r="H9" i="25"/>
  <c r="G141" i="10"/>
  <c r="G10" i="6"/>
  <c r="G9" i="14"/>
  <c r="G36" i="5"/>
  <c r="G11" i="27"/>
  <c r="H10" i="33"/>
  <c r="G104" i="15"/>
  <c r="G70" i="11"/>
  <c r="G54" i="11"/>
  <c r="G164" i="1"/>
  <c r="G92" i="10"/>
  <c r="G10" i="26"/>
  <c r="G10" i="10"/>
  <c r="G152" i="15"/>
  <c r="G85" i="11"/>
  <c r="G311" i="34"/>
  <c r="G123" i="34"/>
  <c r="G63" i="5"/>
  <c r="G121" i="10"/>
  <c r="G10" i="32"/>
  <c r="G23" i="31"/>
  <c r="G11" i="34"/>
  <c r="G10" i="39"/>
  <c r="G59" i="15"/>
  <c r="G120" i="15"/>
  <c r="G30" i="11"/>
  <c r="G167" i="15"/>
  <c r="H32" i="33"/>
  <c r="F22" i="15"/>
  <c r="E195" i="43"/>
  <c r="C107" i="45"/>
  <c r="I47" i="6"/>
  <c r="I68" i="15"/>
  <c r="I26" i="27" s="1"/>
  <c r="E78" i="1"/>
  <c r="H22" i="15"/>
  <c r="G19" i="6"/>
  <c r="C19" i="6"/>
  <c r="H55" i="5"/>
  <c r="H57" i="5" s="1"/>
  <c r="E19" i="6"/>
  <c r="E27" i="27"/>
  <c r="F19" i="6"/>
  <c r="K47" i="6"/>
  <c r="I22" i="15"/>
  <c r="I19" i="6"/>
  <c r="E68" i="15"/>
  <c r="E26" i="27" s="1"/>
  <c r="G55" i="5"/>
  <c r="G57" i="5" s="1"/>
  <c r="D22" i="15"/>
  <c r="F78" i="1"/>
  <c r="C45" i="45"/>
  <c r="G54" i="44"/>
  <c r="E48" i="44"/>
  <c r="G39" i="44"/>
  <c r="E45" i="44"/>
  <c r="E53" i="44"/>
  <c r="G52" i="44"/>
  <c r="E42" i="44"/>
  <c r="E41" i="44"/>
  <c r="E46" i="44"/>
  <c r="C47" i="45"/>
  <c r="G47" i="44"/>
  <c r="G53" i="44"/>
  <c r="E51" i="44"/>
  <c r="E50" i="44"/>
  <c r="G46" i="44"/>
  <c r="G51" i="44"/>
  <c r="G44" i="44"/>
  <c r="E40" i="44"/>
  <c r="G41" i="44"/>
  <c r="C44" i="45"/>
  <c r="E49" i="44"/>
  <c r="G49" i="44"/>
  <c r="C48" i="45"/>
  <c r="G50" i="44"/>
  <c r="G43" i="44"/>
  <c r="E54" i="44"/>
  <c r="G40" i="44"/>
  <c r="G45" i="44"/>
  <c r="E39" i="44"/>
  <c r="G48" i="44"/>
  <c r="G42" i="44"/>
  <c r="E52" i="44"/>
  <c r="E44" i="44"/>
  <c r="E47" i="44"/>
  <c r="E43" i="44"/>
  <c r="D68" i="15" l="1"/>
  <c r="D26" i="27" s="1"/>
  <c r="K33" i="6"/>
  <c r="K78" i="1"/>
  <c r="C78" i="1"/>
  <c r="G78" i="1"/>
  <c r="J78" i="1"/>
  <c r="BM47" i="46"/>
  <c r="BM51" i="46"/>
  <c r="AL52" i="46"/>
  <c r="C51" i="45"/>
  <c r="BD51" i="46"/>
  <c r="BM52" i="46"/>
  <c r="C52" i="45"/>
  <c r="BV51" i="46"/>
  <c r="H174" i="39"/>
  <c r="H256" i="39"/>
  <c r="H125" i="1"/>
  <c r="H11" i="1"/>
  <c r="AL46" i="46"/>
  <c r="H47" i="1"/>
  <c r="I58" i="25"/>
  <c r="H86" i="1"/>
  <c r="K47" i="1"/>
  <c r="K174" i="39"/>
  <c r="K125" i="1"/>
  <c r="K11" i="1"/>
  <c r="BM46" i="46"/>
  <c r="K86" i="1"/>
  <c r="K256" i="39"/>
  <c r="L58" i="25"/>
  <c r="I256" i="39"/>
  <c r="I47" i="1"/>
  <c r="I11" i="1"/>
  <c r="AU46" i="46"/>
  <c r="I86" i="1"/>
  <c r="I174" i="39"/>
  <c r="J58" i="25"/>
  <c r="I125" i="1"/>
  <c r="BD52" i="46"/>
  <c r="AU51" i="46"/>
  <c r="AU52" i="46"/>
  <c r="AL47" i="46"/>
  <c r="BD47" i="46"/>
  <c r="AU48" i="46"/>
  <c r="AU50" i="46"/>
  <c r="D125" i="1"/>
  <c r="D256" i="39"/>
  <c r="D47" i="1"/>
  <c r="E58" i="25"/>
  <c r="D174" i="39"/>
  <c r="D11" i="1"/>
  <c r="D86" i="1"/>
  <c r="F256" i="39"/>
  <c r="F11" i="1"/>
  <c r="G58" i="25"/>
  <c r="F174" i="39"/>
  <c r="F125" i="1"/>
  <c r="F86" i="1"/>
  <c r="BM50" i="46"/>
  <c r="F47" i="1"/>
  <c r="J86" i="1"/>
  <c r="J174" i="39"/>
  <c r="J11" i="1"/>
  <c r="J125" i="1"/>
  <c r="BD46" i="46"/>
  <c r="J256" i="39"/>
  <c r="K58" i="25"/>
  <c r="J47" i="1"/>
  <c r="AU47" i="46"/>
  <c r="BD48" i="46"/>
  <c r="G47" i="1"/>
  <c r="BV50" i="46"/>
  <c r="G256" i="39"/>
  <c r="H58" i="25"/>
  <c r="G174" i="39"/>
  <c r="G125" i="1"/>
  <c r="G86" i="1"/>
  <c r="G11" i="1"/>
  <c r="BV52" i="46"/>
  <c r="AL50" i="46"/>
  <c r="BV48" i="46"/>
  <c r="BV46" i="46"/>
  <c r="AL51" i="46"/>
  <c r="F58" i="25"/>
  <c r="BD50" i="46"/>
  <c r="E11" i="1"/>
  <c r="E47" i="1"/>
  <c r="C116" i="45"/>
  <c r="E86" i="1"/>
  <c r="E125" i="1"/>
  <c r="E174" i="39"/>
  <c r="E256" i="39"/>
  <c r="BM48" i="46"/>
  <c r="BV47" i="46"/>
  <c r="AL48" i="46"/>
  <c r="F27" i="27"/>
  <c r="J22" i="15"/>
  <c r="C47" i="6"/>
  <c r="E47" i="6"/>
  <c r="G22" i="15"/>
  <c r="F68" i="15"/>
  <c r="F26" i="27" s="1"/>
  <c r="G68" i="15"/>
  <c r="G26" i="27" s="1"/>
  <c r="G47" i="6"/>
  <c r="D78" i="1"/>
  <c r="I27" i="27"/>
  <c r="F47" i="6"/>
  <c r="C22" i="15"/>
  <c r="K22" i="15"/>
  <c r="H27" i="27"/>
  <c r="C68" i="15" l="1"/>
  <c r="C26" i="27" s="1"/>
  <c r="J27" i="27"/>
  <c r="K52" i="5"/>
  <c r="K55" i="5" s="1"/>
  <c r="K57" i="5" s="1"/>
  <c r="K27" i="27"/>
  <c r="G27" i="27"/>
  <c r="D23" i="27"/>
  <c r="K26" i="27"/>
  <c r="K17" i="27"/>
  <c r="D27" i="27" l="1"/>
  <c r="C23" i="27"/>
  <c r="C27" i="27"/>
</calcChain>
</file>

<file path=xl/sharedStrings.xml><?xml version="1.0" encoding="utf-8"?>
<sst xmlns="http://schemas.openxmlformats.org/spreadsheetml/2006/main" count="3138" uniqueCount="1379">
  <si>
    <t>CONDITIONAL FORMATTING MAP</t>
  </si>
  <si>
    <t>=INDEX(dms_CF_3.6.5, MATCH(dms_TradingName,dms_CF_TradingName))="Y"</t>
  </si>
  <si>
    <t>=INDEX(dms_CF_3.6.7.1, MATCH(dms_TradingName,dms_CF_TradingName))="Y"</t>
  </si>
  <si>
    <t>=INDEX(dms_CF_3.6.7.2, MATCH(dms_TradingName,dms_CF_TradingName))="Y"</t>
  </si>
  <si>
    <t>=INDEX(dms_CF_3.6.7.3, MATCH(dms_TradingName,dms_CF_TradingName))="Y"</t>
  </si>
  <si>
    <t>=INDEX(dms_CF_3.6.7.4, MATCH(dms_TradingName,dms_CF_TradingName))="Y"</t>
  </si>
  <si>
    <t>=INDEX(dms_CF_4.1, MATCH(dms_TradingName,dms_CF_TradingName))="Y"</t>
  </si>
  <si>
    <t>=INDEX(dms_CF_6.6.1, MATCH(dms_TradingName,dms_CF_TradingName))="Y"</t>
  </si>
  <si>
    <t>=INDEX(dms_CF_6.8, MATCH(dms_TradingName,dms_CF_TradingName))="Y"</t>
  </si>
  <si>
    <t>=INDEX(dms_CF_7.12, MATCH(dms_TradingName,dms_CF_TradingName))="Y"</t>
  </si>
  <si>
    <t>=INDEX(dms_CF_8.1_A, MATCH(dms_TradingName,dms_CF_TradingName))="Y"</t>
  </si>
  <si>
    <t>=INDEX(dms_CF_8.1_B, MATCH(dms_TradingName,dms_CF_TradingName))="Y"</t>
  </si>
  <si>
    <t>=INDEX(dms_CF_8.1_Neg, MATCH(dms_TradingName,dms_CF_TradingName))="Y"</t>
  </si>
  <si>
    <t>dms_CF_TradingName</t>
  </si>
  <si>
    <t>JurisdictionList</t>
  </si>
  <si>
    <t>Sector</t>
  </si>
  <si>
    <t>Segment</t>
  </si>
  <si>
    <t>dms_CF_3.6.1</t>
  </si>
  <si>
    <t>dms_CF_3.6.5</t>
  </si>
  <si>
    <t>dms_CF_3.6.6</t>
  </si>
  <si>
    <t>dms_CF_3.6.7.1</t>
  </si>
  <si>
    <t>dms_CF_3.6.7.2</t>
  </si>
  <si>
    <t>dms_CF_3.6.7.3</t>
  </si>
  <si>
    <t>dms_CF_3.6.7.4</t>
  </si>
  <si>
    <t>dms_CF_4.1</t>
  </si>
  <si>
    <t>dms_CF_6.6.1</t>
  </si>
  <si>
    <t>dms_CF_6.8</t>
  </si>
  <si>
    <t>dms_CF_7.12</t>
  </si>
  <si>
    <t>dms_CF_8.1_A</t>
  </si>
  <si>
    <t>dms_CF_8.1_B</t>
  </si>
  <si>
    <t>dms_CF_8.1_Neg</t>
  </si>
  <si>
    <t>Spare1</t>
  </si>
  <si>
    <t>Spare2</t>
  </si>
  <si>
    <t>ActewAGL Distribution</t>
  </si>
  <si>
    <t>ACT</t>
  </si>
  <si>
    <t>Electricity</t>
  </si>
  <si>
    <t>Distribution</t>
  </si>
  <si>
    <t>Y</t>
  </si>
  <si>
    <t>N</t>
  </si>
  <si>
    <t>Ausgrid</t>
  </si>
  <si>
    <t>NSW</t>
  </si>
  <si>
    <t>AusNet (D)</t>
  </si>
  <si>
    <t>Vic</t>
  </si>
  <si>
    <t>AusNet (T)</t>
  </si>
  <si>
    <t>Transmission</t>
  </si>
  <si>
    <t>CitiPower</t>
  </si>
  <si>
    <t>Directlink</t>
  </si>
  <si>
    <t>Qld</t>
  </si>
  <si>
    <t>ElectraNet</t>
  </si>
  <si>
    <t>SA</t>
  </si>
  <si>
    <t>Endeavour Energy</t>
  </si>
  <si>
    <t>Energex</t>
  </si>
  <si>
    <t>Ergon Energy</t>
  </si>
  <si>
    <t>Essential Energy</t>
  </si>
  <si>
    <t>Jemena Electricity</t>
  </si>
  <si>
    <t>Murraylink</t>
  </si>
  <si>
    <t>Power and Water</t>
  </si>
  <si>
    <t>NT</t>
  </si>
  <si>
    <t>Powercor Australia</t>
  </si>
  <si>
    <t>Powerlink</t>
  </si>
  <si>
    <t>SA Power Networks</t>
  </si>
  <si>
    <t>TasNetworks (D)</t>
  </si>
  <si>
    <t>Tas</t>
  </si>
  <si>
    <t>TasNetworks (T)</t>
  </si>
  <si>
    <t>TransGrid</t>
  </si>
  <si>
    <t>United Energy</t>
  </si>
  <si>
    <t>=IFERROR(IF(dms_060801_StartCell&lt;&gt;"",IF(dms_Model="ARR",(LOOKUP(2,1/(dms_060801_01_Values&lt;&gt;""),(ROW(dms_060801_01_Values)))),"not an ARR"),0),"0")</t>
  </si>
  <si>
    <t>=IFERROR(IF(dms_Model="ARR",(MAX(0,dms_0608_LastRow-dms_0608_OffsetRows)),"not an ARR"),"0")</t>
  </si>
  <si>
    <t>Data in these columns used for data validation and database purposes.</t>
  </si>
  <si>
    <t>Date last modified:</t>
  </si>
  <si>
    <t>added (Albury and Victora) for AGN</t>
  </si>
  <si>
    <t>updated TransGrid's correct legal name, corrected TasNetworks (T) to June financial year</t>
  </si>
  <si>
    <t>inserted Power and Water, added NRs (dms_FeederCat_1 and dms_FeederCat_2)</t>
  </si>
  <si>
    <t>inserted AEMO as a business</t>
  </si>
  <si>
    <t>FOR ELECTRICITY BUSINESSES ONLY</t>
  </si>
  <si>
    <t>major changes to accommodate STPIS</t>
  </si>
  <si>
    <t>Template Version</t>
  </si>
  <si>
    <t>Feeder Types</t>
  </si>
  <si>
    <t>MAIFI flag</t>
  </si>
  <si>
    <t>Feeder Names</t>
  </si>
  <si>
    <t>CBD</t>
  </si>
  <si>
    <t>Urban</t>
  </si>
  <si>
    <t>Short rural</t>
  </si>
  <si>
    <t>long rural</t>
  </si>
  <si>
    <t>EXTRA</t>
  </si>
  <si>
    <t>dms_TradingName_List</t>
  </si>
  <si>
    <t>dms_TradingNameFull_List</t>
  </si>
  <si>
    <t>dms_ABN_List</t>
  </si>
  <si>
    <t>dms_JurisdictionList</t>
  </si>
  <si>
    <t>dms_Sector_List</t>
  </si>
  <si>
    <t>dms_Segment_List</t>
  </si>
  <si>
    <t>dms_FormControl_List</t>
  </si>
  <si>
    <t>dms_RPT_List</t>
  </si>
  <si>
    <t>dms_RPTMonth_List</t>
  </si>
  <si>
    <t>dms_CRCPlength_List</t>
  </si>
  <si>
    <t>dms_FRCPlength_List</t>
  </si>
  <si>
    <t>dms_663_List</t>
  </si>
  <si>
    <t>dms_DeterminationRef_List</t>
  </si>
  <si>
    <t>dms_Addr1_List</t>
  </si>
  <si>
    <t>dms_Addr2_List</t>
  </si>
  <si>
    <t>dms_Suburb_List</t>
  </si>
  <si>
    <t>dms_State_List</t>
  </si>
  <si>
    <t>dms_PostCode_List</t>
  </si>
  <si>
    <t>dms_PAddr1_List</t>
  </si>
  <si>
    <t>dms_PAddr2_List</t>
  </si>
  <si>
    <t>dms_PSuburb_List</t>
  </si>
  <si>
    <t>dms_PState_List</t>
  </si>
  <si>
    <t>dms_PPostCode_List</t>
  </si>
  <si>
    <t>dms_CBD_flag</t>
  </si>
  <si>
    <t>dms_Urban_flag</t>
  </si>
  <si>
    <t>dms_ShortRural_flag</t>
  </si>
  <si>
    <t>dms_LongRural_flag</t>
  </si>
  <si>
    <t>dms_FeederType_5_flag</t>
  </si>
  <si>
    <t>dms_MAIFI_flag_List</t>
  </si>
  <si>
    <t>dms_FeederName_1</t>
  </si>
  <si>
    <t>dms_FeederName_2</t>
  </si>
  <si>
    <t>dms_FeederName_3</t>
  </si>
  <si>
    <t>dms_FeederName_4</t>
  </si>
  <si>
    <t>dms_FeederName_5</t>
  </si>
  <si>
    <t>dms_Public_Lighting_List</t>
  </si>
  <si>
    <t>Revenue cap</t>
  </si>
  <si>
    <t>Financial</t>
  </si>
  <si>
    <t>NO</t>
  </si>
  <si>
    <t>Long rural</t>
  </si>
  <si>
    <t>Gas</t>
  </si>
  <si>
    <t>Weighted average price cap</t>
  </si>
  <si>
    <t>x</t>
  </si>
  <si>
    <t>-</t>
  </si>
  <si>
    <t>AGN (Albury and Victoria)</t>
  </si>
  <si>
    <t>Australian Gas Networks Limited (reporting data for Albury and Victoria)</t>
  </si>
  <si>
    <t>Calendar</t>
  </si>
  <si>
    <t>Level 6</t>
  </si>
  <si>
    <t>400 King William Street</t>
  </si>
  <si>
    <t>ADELAIDE</t>
  </si>
  <si>
    <t>PO Box 6468</t>
  </si>
  <si>
    <t>Halifax Street</t>
  </si>
  <si>
    <t>AGN (Albury)</t>
  </si>
  <si>
    <t>Australian Gas Networks Limited (reporting data for Albury)</t>
  </si>
  <si>
    <t>AGN (Victoria)</t>
  </si>
  <si>
    <t>Australian Gas Networks Limited (reporting data for Victoria)</t>
  </si>
  <si>
    <t>Level 19, HSBC Building</t>
  </si>
  <si>
    <t>580 George Street</t>
  </si>
  <si>
    <t>SYDNEY</t>
  </si>
  <si>
    <t>APA GasNet</t>
  </si>
  <si>
    <t>APA GasNet Australia (Operations) Pty Ltd</t>
  </si>
  <si>
    <t>065083009</t>
  </si>
  <si>
    <t>PO Box R41</t>
  </si>
  <si>
    <t>ROYAL EXCHANGE</t>
  </si>
  <si>
    <t>AusNet (Gas)</t>
  </si>
  <si>
    <t>AusNet Gas Services</t>
  </si>
  <si>
    <t>086015036</t>
  </si>
  <si>
    <t>X</t>
  </si>
  <si>
    <t>Multinet Gas</t>
  </si>
  <si>
    <t>Multinet Gas (DB No.1) Pty Ltd (ACN 086 026 986), Multinet Gas (DB No.2) Pty Ltd (ACN 086 230 122)</t>
  </si>
  <si>
    <t>086026986</t>
  </si>
  <si>
    <t>43-45 Centreway</t>
  </si>
  <si>
    <t>MT WAVERLEY</t>
  </si>
  <si>
    <t>The Reg Year Ending (dms_RYE) must be set to the last year of the regulatory period. For forecast data is is usually (FRCP_y5) for actual it is a single year (CRY). For historical actual data the RYE will need to be set manually in the business details sheet by setting the dms_Multiyear_flag to 1 and putting the correct value in 'dms_Specified_FinalYear. See cells C67:C68</t>
  </si>
  <si>
    <t xml:space="preserve">dms_Model_List </t>
  </si>
  <si>
    <t>dms_Worksheet_List</t>
  </si>
  <si>
    <t>dms_020303_01_UOM</t>
  </si>
  <si>
    <t>dms_020501_01_UOM</t>
  </si>
  <si>
    <t>dms_020501_02_UOM</t>
  </si>
  <si>
    <t>dms_020501_03_UOM</t>
  </si>
  <si>
    <t>dms_020501_04_UOM</t>
  </si>
  <si>
    <t>dms_020603_01_UOM</t>
  </si>
  <si>
    <t>dms_020701_01_UOM</t>
  </si>
  <si>
    <t>dms_020701_02_UOM</t>
  </si>
  <si>
    <t>dms_020701_01_Rows</t>
  </si>
  <si>
    <t>dms_040102_01_UOM</t>
  </si>
  <si>
    <t>dms_040102_04_UOM</t>
  </si>
  <si>
    <t>dms_030601_01_UOM</t>
  </si>
  <si>
    <t>dms_030601_02_UOM</t>
  </si>
  <si>
    <t>dms_030701_01_UOM</t>
  </si>
  <si>
    <t>dms_030702_01_UOM</t>
  </si>
  <si>
    <t>dms_030703_01_UOM</t>
  </si>
  <si>
    <t>dms_030605_UOM</t>
  </si>
  <si>
    <t>dms_03060703_UOM</t>
  </si>
  <si>
    <t>ARR</t>
  </si>
  <si>
    <t>New line on new route - single circuit</t>
  </si>
  <si>
    <t>Circuit line length in km</t>
  </si>
  <si>
    <t>0's</t>
  </si>
  <si>
    <t>km</t>
  </si>
  <si>
    <t>Route line length within zone</t>
  </si>
  <si>
    <t>days</t>
  </si>
  <si>
    <t>minutes/customer</t>
  </si>
  <si>
    <t>Customer / km</t>
  </si>
  <si>
    <t>%</t>
  </si>
  <si>
    <t>number</t>
  </si>
  <si>
    <t>CA</t>
  </si>
  <si>
    <t>New line on new route - dual circuit</t>
  </si>
  <si>
    <t>Number of maintenance spans</t>
  </si>
  <si>
    <t>MWh/customer</t>
  </si>
  <si>
    <t>Number of spans</t>
  </si>
  <si>
    <t>CESS</t>
  </si>
  <si>
    <t>CAPITLAL EXPENDITURE SHARING SCHEMING</t>
  </si>
  <si>
    <t>New line on new route - other</t>
  </si>
  <si>
    <t>MVA added</t>
  </si>
  <si>
    <t>Total length of maintenance spans</t>
  </si>
  <si>
    <t>$0s</t>
  </si>
  <si>
    <t>interruptions/customer</t>
  </si>
  <si>
    <t>kVA / customer</t>
  </si>
  <si>
    <t>CPI</t>
  </si>
  <si>
    <t>Line rebuild over existing route - single circuit</t>
  </si>
  <si>
    <t>Length of vegetation corridors</t>
  </si>
  <si>
    <t>EB</t>
  </si>
  <si>
    <t>Line rebuild over existing route - dual circuit</t>
  </si>
  <si>
    <t>Number</t>
  </si>
  <si>
    <t>total spend $0s</t>
  </si>
  <si>
    <t>(per cent)</t>
  </si>
  <si>
    <t>Average number of trees per maintenance span</t>
  </si>
  <si>
    <t>PTRM</t>
  </si>
  <si>
    <t>POST TAX REVENUE MODEL</t>
  </si>
  <si>
    <t>Reconductor - Single circuit</t>
  </si>
  <si>
    <t>net circuit km added</t>
  </si>
  <si>
    <t>years</t>
  </si>
  <si>
    <t>Average frequency of cutting cycle</t>
  </si>
  <si>
    <t>Years</t>
  </si>
  <si>
    <t>Reset</t>
  </si>
  <si>
    <t>REGULATORY REPORTING STATEMENT</t>
  </si>
  <si>
    <t>Reconductor - Dual circuit</t>
  </si>
  <si>
    <t>RFM</t>
  </si>
  <si>
    <t>ROLL FORWARD MODEL</t>
  </si>
  <si>
    <t>Other</t>
  </si>
  <si>
    <t>Trees</t>
  </si>
  <si>
    <t>WACC</t>
  </si>
  <si>
    <t>WEIGHTED AVERAGE COST OF CAPITAL</t>
  </si>
  <si>
    <t>Defects</t>
  </si>
  <si>
    <t>dms_DataQuality_List</t>
  </si>
  <si>
    <t>Actual</t>
  </si>
  <si>
    <t>Spans</t>
  </si>
  <si>
    <t>Estimate</t>
  </si>
  <si>
    <t>Consolidated</t>
  </si>
  <si>
    <t/>
  </si>
  <si>
    <t>Public</t>
  </si>
  <si>
    <t>STYLES IN USE</t>
  </si>
  <si>
    <t>For all files either AER or business needs to be able to specify the type of submission</t>
  </si>
  <si>
    <t>For PTRM &amp; RFM templates we must provide a choice in case they change their form of control - otherwise it is drawn from the business specific lookup table above.</t>
  </si>
  <si>
    <t>DMS_Xfactor</t>
  </si>
  <si>
    <t>dms_SourceList</t>
  </si>
  <si>
    <t>dms_FormControl_Choices</t>
  </si>
  <si>
    <t>x factors</t>
  </si>
  <si>
    <t>After appeal</t>
  </si>
  <si>
    <t>Draft decision</t>
  </si>
  <si>
    <t>Revenue yield</t>
  </si>
  <si>
    <t>Final decision</t>
  </si>
  <si>
    <t>PTRM update 1</t>
  </si>
  <si>
    <t>PTRM update 2</t>
  </si>
  <si>
    <t>PTRM update 3</t>
  </si>
  <si>
    <t>PTRM update 4</t>
  </si>
  <si>
    <t>PTRM update 5</t>
  </si>
  <si>
    <t>PTRM update 6</t>
  </si>
  <si>
    <t>PTRM update 7</t>
  </si>
  <si>
    <t>Regulatory proposal</t>
  </si>
  <si>
    <t>Reporting</t>
  </si>
  <si>
    <t>Revised regulatory proposal</t>
  </si>
  <si>
    <t>Reason for interruption</t>
  </si>
  <si>
    <t>dms_Reason_Interruption_Detailed</t>
  </si>
  <si>
    <t>dms_Reason_Interruption</t>
  </si>
  <si>
    <t>dms_STPIS_Exclusion_List</t>
  </si>
  <si>
    <t>Animal</t>
  </si>
  <si>
    <t>Animal impact</t>
  </si>
  <si>
    <t>Weather</t>
  </si>
  <si>
    <t>New substation establishment</t>
  </si>
  <si>
    <t>Animal nesting/burrowing, etc and other</t>
  </si>
  <si>
    <t>Asset failure</t>
  </si>
  <si>
    <t>Equipment failure</t>
  </si>
  <si>
    <t>Capacity upgrade</t>
  </si>
  <si>
    <t>Operational error</t>
  </si>
  <si>
    <t>Voltage upgrade</t>
  </si>
  <si>
    <t>LV</t>
  </si>
  <si>
    <t>Overloads</t>
  </si>
  <si>
    <t>Vegetation</t>
  </si>
  <si>
    <t>Distribution substation</t>
  </si>
  <si>
    <t>Planned</t>
  </si>
  <si>
    <t>Animals</t>
  </si>
  <si>
    <t>HV</t>
  </si>
  <si>
    <t>Network business</t>
  </si>
  <si>
    <t>Third party impacts</t>
  </si>
  <si>
    <t>Zone substation</t>
  </si>
  <si>
    <t>Third party</t>
  </si>
  <si>
    <t>Transmission failure</t>
  </si>
  <si>
    <t>Subtransmission</t>
  </si>
  <si>
    <t>Unknown</t>
  </si>
  <si>
    <t>Load shedding</t>
  </si>
  <si>
    <t>Reconductor - Other</t>
  </si>
  <si>
    <t>insert description of 'other'</t>
  </si>
  <si>
    <t>Inter-distributor connection failure</t>
  </si>
  <si>
    <t>Line upgrade - raising/retensoring</t>
  </si>
  <si>
    <t>Line upgrade - voltage upgrade</t>
  </si>
  <si>
    <t>2 - STPIS Exclusion (3.3)(a)</t>
  </si>
  <si>
    <t>Line upgrade - capacity</t>
  </si>
  <si>
    <t>Network error</t>
  </si>
  <si>
    <t>3 - STPIS Exclusion (3.3)(a)</t>
  </si>
  <si>
    <t>String spare circuit</t>
  </si>
  <si>
    <t>Switching and protection error</t>
  </si>
  <si>
    <t>4 - STPIS Exclusion (3.3)(a)</t>
  </si>
  <si>
    <t>Fire</t>
  </si>
  <si>
    <t>5 - STPIS Exclusion (3.3)(a)</t>
  </si>
  <si>
    <t>6 - STPIS Exclusion (3.3)(a)</t>
  </si>
  <si>
    <t>Dig-in</t>
  </si>
  <si>
    <t>7 - STPIS Exclusion (3.3)(a)</t>
  </si>
  <si>
    <t>Unauthorised access</t>
  </si>
  <si>
    <t>Vehicle impact</t>
  </si>
  <si>
    <t>Blow-in/Fall-in - NSP responsibility</t>
  </si>
  <si>
    <t>Grow-in - NSP responsibility</t>
  </si>
  <si>
    <t>Blow-in/Fall-in - Other responsible party</t>
  </si>
  <si>
    <t>Grow-in - Other responsible party</t>
  </si>
  <si>
    <t>CRCP_y1</t>
  </si>
  <si>
    <t>2005-06</t>
  </si>
  <si>
    <t>2006</t>
  </si>
  <si>
    <t>CRCP_y2</t>
  </si>
  <si>
    <t>2006-07</t>
  </si>
  <si>
    <t>2007</t>
  </si>
  <si>
    <t>CRCP_y3</t>
  </si>
  <si>
    <t>2007-08</t>
  </si>
  <si>
    <t>2008</t>
  </si>
  <si>
    <t>CRCP_y4</t>
  </si>
  <si>
    <t>2008-09</t>
  </si>
  <si>
    <t>2009</t>
  </si>
  <si>
    <t>CRCP_y5</t>
  </si>
  <si>
    <t>2009-10</t>
  </si>
  <si>
    <t>CRCP_y6</t>
  </si>
  <si>
    <t>2010-11</t>
  </si>
  <si>
    <t>CRCP_y7</t>
  </si>
  <si>
    <t>2011-12</t>
  </si>
  <si>
    <t>CRCP_y8</t>
  </si>
  <si>
    <t>2012-13</t>
  </si>
  <si>
    <t>CRCP_y9</t>
  </si>
  <si>
    <t>2013-14</t>
  </si>
  <si>
    <t>CRCP_y10</t>
  </si>
  <si>
    <t>2014-15</t>
  </si>
  <si>
    <t>CRCP_y11</t>
  </si>
  <si>
    <t>2015-16</t>
  </si>
  <si>
    <t>CRCP_y12</t>
  </si>
  <si>
    <t>2016-17</t>
  </si>
  <si>
    <t>CRCP_y13</t>
  </si>
  <si>
    <t>2017-18</t>
  </si>
  <si>
    <t>CRCP_y14</t>
  </si>
  <si>
    <t>2018-19</t>
  </si>
  <si>
    <t>CRCP_y15</t>
  </si>
  <si>
    <t>2019-20</t>
  </si>
  <si>
    <t>2020-21</t>
  </si>
  <si>
    <t>2021-22</t>
  </si>
  <si>
    <t>2022-23</t>
  </si>
  <si>
    <t>dms_y1</t>
  </si>
  <si>
    <t>2023-24</t>
  </si>
  <si>
    <t>dms_y2</t>
  </si>
  <si>
    <t>2024-25</t>
  </si>
  <si>
    <t>dms_y3</t>
  </si>
  <si>
    <t>2025-26</t>
  </si>
  <si>
    <t>dms_y4</t>
  </si>
  <si>
    <t>2026-27</t>
  </si>
  <si>
    <t>dms_y5</t>
  </si>
  <si>
    <t>2027-28</t>
  </si>
  <si>
    <t>dms_y6</t>
  </si>
  <si>
    <t>2028-29</t>
  </si>
  <si>
    <t>dms_y7</t>
  </si>
  <si>
    <t>2029-30</t>
  </si>
  <si>
    <t>dms_y8</t>
  </si>
  <si>
    <t>2030-31</t>
  </si>
  <si>
    <t>dms_y9</t>
  </si>
  <si>
    <t>2031-32</t>
  </si>
  <si>
    <t>dms_y10</t>
  </si>
  <si>
    <t>2032-33</t>
  </si>
  <si>
    <t>dms_y11</t>
  </si>
  <si>
    <t>2033-34</t>
  </si>
  <si>
    <t>dms_y12</t>
  </si>
  <si>
    <t>2034-35</t>
  </si>
  <si>
    <t>dms_y13</t>
  </si>
  <si>
    <t>2035-36</t>
  </si>
  <si>
    <t>dms_y14</t>
  </si>
  <si>
    <t>dms_y15</t>
  </si>
  <si>
    <t>dms_y16</t>
  </si>
  <si>
    <t>These "row descriptions" are the column headings in the various templates but become row descriptions in the ETL process</t>
  </si>
  <si>
    <t>Table 6.3 sustained interruptions - row descriptions</t>
  </si>
  <si>
    <t>dms_060301_CustNo_Affected_Row</t>
  </si>
  <si>
    <t>dms_060301_Avg_Duration_Sustained_Int_Row</t>
  </si>
  <si>
    <t>dms_060301_Effect_unplanned_SAIDI_Row</t>
  </si>
  <si>
    <t>dms_060301_Effect_unplanned_SAIFI_Row</t>
  </si>
  <si>
    <t>Number of customers affected by the interruption</t>
  </si>
  <si>
    <t>Average duration of sustained customer interruption</t>
  </si>
  <si>
    <t>Effect on unplanned SAIDI</t>
  </si>
  <si>
    <t>Effect on unplanned SAIFI</t>
  </si>
  <si>
    <t>Table 6.1 telephone answering - row descriptions and start date</t>
  </si>
  <si>
    <t>dms_060101_Rows</t>
  </si>
  <si>
    <t>dms_060102_Rows</t>
  </si>
  <si>
    <t>dms_060101_StartDateTxt</t>
  </si>
  <si>
    <t>Total number of calls 
(after removing excluded events)</t>
  </si>
  <si>
    <t xml:space="preserve">Number of calls answered within 30 seconds 
(after excluding excluded events) </t>
  </si>
  <si>
    <t>dms_0603_FeederList</t>
  </si>
  <si>
    <t>Table 6.7.1 - daily performance data - unplanned - MAIFI  -- row descriptions and header named range values</t>
  </si>
  <si>
    <t>These headings (Lists) are determined from the INDEX/MATCH function on the NSP selected on the Business &amp; other details sheet</t>
  </si>
  <si>
    <t>dms_060701_Feeder_Header_Lvl4</t>
  </si>
  <si>
    <t>Network</t>
  </si>
  <si>
    <t>dms_060701_Rows</t>
  </si>
  <si>
    <t>All events</t>
  </si>
  <si>
    <t>After removing excluded events</t>
  </si>
  <si>
    <t>the number of column headings changes from 10 to 12 depending on the number of feeder categories for the NSP</t>
  </si>
  <si>
    <t>Table 6.8.1 - row descriptions</t>
  </si>
  <si>
    <t>dms_060801_01_Rows</t>
  </si>
  <si>
    <t>dms_060801_02_Rows</t>
  </si>
  <si>
    <t>dms_060801_03_Rows</t>
  </si>
  <si>
    <t>dms_060801_04_Rows</t>
  </si>
  <si>
    <t>Number of interruptions</t>
  </si>
  <si>
    <t>Duration of interruptions</t>
  </si>
  <si>
    <t>Total unplanned minutes off supply</t>
  </si>
  <si>
    <t>Effect on unplanned MAIFI</t>
  </si>
  <si>
    <t>Table 7.9.4 - market impact component - row descriptions</t>
  </si>
  <si>
    <t>dms_070904_01_Rows</t>
  </si>
  <si>
    <t>without exclusions</t>
  </si>
  <si>
    <t>with exclusions</t>
  </si>
  <si>
    <t>ARRs 6.7 STPIS daily performance</t>
  </si>
  <si>
    <t>dms_060101_Values</t>
  </si>
  <si>
    <t>dms_060102_Values</t>
  </si>
  <si>
    <t>dms_060701_Values</t>
  </si>
  <si>
    <t>dms_LeapYear</t>
  </si>
  <si>
    <t>ARR's  6.8 STPIS exclusions</t>
  </si>
  <si>
    <t>dms_060801_Event_Date</t>
  </si>
  <si>
    <t>dms_060801_OutageID</t>
  </si>
  <si>
    <t>dms_060801_FeederID</t>
  </si>
  <si>
    <t>dms_060801_FeederClass</t>
  </si>
  <si>
    <t>dms_060801_CauseID</t>
  </si>
  <si>
    <t>dms_060801_01_Values</t>
  </si>
  <si>
    <t>dms_060801_02_Values</t>
  </si>
  <si>
    <t>dms_060801_03_Values</t>
  </si>
  <si>
    <t>dms_060801_Excl_Cat</t>
  </si>
  <si>
    <t>dms_060801_04_Values</t>
  </si>
  <si>
    <t>dms_060801_StartCell</t>
  </si>
  <si>
    <t>CA 6.3 sustained interruptions</t>
  </si>
  <si>
    <t>dms_060301_Event_Date</t>
  </si>
  <si>
    <t>dms_060301_Event_Time</t>
  </si>
  <si>
    <t>dms_060301_AssetID</t>
  </si>
  <si>
    <t>dms_060301_FeederClass</t>
  </si>
  <si>
    <t>dms_060301_Reason</t>
  </si>
  <si>
    <t>dms_060301_DetailedReason</t>
  </si>
  <si>
    <t>dms_060301_CustNo_Affected_Values</t>
  </si>
  <si>
    <t>dms_060301_Avg_Duration_Sustained_Int_Values</t>
  </si>
  <si>
    <t>dms_060301_Effect_unplanned_SAIDI_Values</t>
  </si>
  <si>
    <t>dms_060301_Effect_unplanned_SAIFI_Values</t>
  </si>
  <si>
    <t>dms_060301_MED</t>
  </si>
  <si>
    <t>BUSINESS &amp; OTHER DETAILS</t>
  </si>
  <si>
    <t>ENTITY DETAILS</t>
  </si>
  <si>
    <t>Short name</t>
  </si>
  <si>
    <t>Address 1</t>
  </si>
  <si>
    <t>Address 2</t>
  </si>
  <si>
    <t>Suburb</t>
  </si>
  <si>
    <t>State</t>
  </si>
  <si>
    <t>FRCP_y2</t>
  </si>
  <si>
    <t>FRCP_y4</t>
  </si>
  <si>
    <t>FRCP_y5</t>
  </si>
  <si>
    <t>PRCP_y1</t>
  </si>
  <si>
    <t>PRCP_y2</t>
  </si>
  <si>
    <t>PRCP_y3</t>
  </si>
  <si>
    <t>PRCP_y4</t>
  </si>
  <si>
    <t>PRCP_y5</t>
  </si>
  <si>
    <t>IF THIS IS AN ABC RIN - make sure the the named range CRY is applied and the named range dms_dollar_nom_UOM is applied</t>
  </si>
  <si>
    <t>IF THIS IS A RESET RIN - make sure the named ranges CRY and dms_dollar_nom_UOM are NOT present in the workbook</t>
  </si>
  <si>
    <t>FOR ABC RINS THAT SPAN MULTIPLE YEARS - make sure MultiYear Flag is set and final year entered as required</t>
  </si>
  <si>
    <t>Source</t>
  </si>
  <si>
    <t>Submission Date</t>
  </si>
  <si>
    <t>dms_SubmissionDate</t>
  </si>
  <si>
    <t>EBSS - First application of scheme in forthcoming period?</t>
  </si>
  <si>
    <t>No</t>
  </si>
  <si>
    <t>dms_Sector</t>
  </si>
  <si>
    <t>=INDEX(dms_Sector_List,MATCH(dms_TradingName,dms_TradingName_List))</t>
  </si>
  <si>
    <t>dms_Segment</t>
  </si>
  <si>
    <t>=INDEX(dms_Segment_List,MATCH(dms_TradingName,dms_TradingName_List))</t>
  </si>
  <si>
    <t>Regulatory Year Ending</t>
  </si>
  <si>
    <t>dms_RYE</t>
  </si>
  <si>
    <t>=IF(dms_MultiYear_Flag=1,LEFT(dms_Specified_FinalYear,2)&amp;RIGHT(dms_Specified_FinalYear,2),INDEX(dms_RYE_Formula_Result,MATCH(dms_Model,dms_Model_List)))</t>
  </si>
  <si>
    <t>Reporting Period Type</t>
  </si>
  <si>
    <t>dms_RPT</t>
  </si>
  <si>
    <t>=INDEX(dms_RPT_List,MATCH(dms_TradingName,dms_TradingName_List))</t>
  </si>
  <si>
    <t>dms_Model</t>
  </si>
  <si>
    <t>EB/CA Unit of Measure for Monetary Values</t>
  </si>
  <si>
    <t>dms_dollar_nom_UOM</t>
  </si>
  <si>
    <t>If the cover sheet is attached to an ABC RIN apply the NAMED RANGE to the cell</t>
  </si>
  <si>
    <t>Security Classification</t>
  </si>
  <si>
    <t>dms_Classification</t>
  </si>
  <si>
    <t>Always Public</t>
  </si>
  <si>
    <t>Jurisdiction</t>
  </si>
  <si>
    <t>dms_Jurisdiction</t>
  </si>
  <si>
    <t>=INDEX(dms_JurisdictionList,MATCH(dms_TradingName,dms_TradingName_List))</t>
  </si>
  <si>
    <t>CRY-1  (last full calendar year before CRY)</t>
  </si>
  <si>
    <t>dms_Cal_Year_B4_CRY</t>
  </si>
  <si>
    <t>'=IF(dms_RPT="financial",VALUE(LEFT(dms_SingleYear_FinalYear_Result,4)),VALUE(LEFT(dms_SingleYear_FinalYear_Result,4)-1))</t>
  </si>
  <si>
    <t>Dollar $ real month</t>
  </si>
  <si>
    <t>dms_RPTMonth</t>
  </si>
  <si>
    <t>=INDEX(dms_RPTMonth_List,MATCH(dms_TradingName,dms_TradingName_List))</t>
  </si>
  <si>
    <t>Dollar $ real  (the last month before the FRCP_y1)</t>
  </si>
  <si>
    <t>dms_DollarReal</t>
  </si>
  <si>
    <t>Dollar $ real previous year (PRCP_y5)</t>
  </si>
  <si>
    <t>dms_DollarReal_Prev</t>
  </si>
  <si>
    <t>=IF(SUM(dms_SingleYear_Model)&gt;0,CONCATENATE(dms_RPTMonth)&amp;" "&amp;VALUE(((LEFT(CRY,2))&amp;RIGHT(CRY,2))-1),CONCATENATE(dms_RPTMonth)&amp;" "&amp;VALUE(((LEFT(dms_CRCP_FirstYear_Result,2)&amp;RIGHT(dms_CRCP_FirstYear_Result,2))))-1)</t>
  </si>
  <si>
    <t>This block works out the various RYE's for ALL RIN types and MODELS</t>
  </si>
  <si>
    <t>dms_EB</t>
  </si>
  <si>
    <t>dms_CA</t>
  </si>
  <si>
    <t>=dms_SingleYear_Model</t>
  </si>
  <si>
    <t>dms_ARR</t>
  </si>
  <si>
    <t>dms_SingleYearModel</t>
  </si>
  <si>
    <t>=IF(SUM(dms_SingleYear_Model)=1,"yes","no")</t>
  </si>
  <si>
    <t>Single Year Final Year Result</t>
  </si>
  <si>
    <t>dms_SingleYear_FinalYear_Result</t>
  </si>
  <si>
    <t>=IFERROR(IF(SUM(dms_SingleYear_Model)&lt;&gt;0,(INDIRECT(dms_SingleYear_FinalYear_Ref)),"not a single year RIN"),"CRY not present")</t>
  </si>
  <si>
    <t>FRCP length in years</t>
  </si>
  <si>
    <t>dms_FRCPlength_Num</t>
  </si>
  <si>
    <t>=INDEX(dms_FRCPlength_List,MATCH(dms_TradingName,dms_TradingName_List))</t>
  </si>
  <si>
    <t>dms_MultiYear_FinalYear_Result</t>
  </si>
  <si>
    <t>CRCP length in years</t>
  </si>
  <si>
    <t>dms_CRCPlength_Num</t>
  </si>
  <si>
    <t>=INDEX(dms_CRCPlength_List,MATCH(dms_TradingName,dms_TradingName_List))</t>
  </si>
  <si>
    <t>PTRM/ RFMs</t>
  </si>
  <si>
    <t>Form of control</t>
  </si>
  <si>
    <t>dms_FormControl</t>
  </si>
  <si>
    <t>=INDEX(dms_FormControl_List,MATCH(dms_TradingName,dms_TradingName_List))</t>
  </si>
  <si>
    <t>ABC RINS THAT SPAN MULTIPLE YEARS</t>
  </si>
  <si>
    <t>dms_MultiYear_Flag</t>
  </si>
  <si>
    <t>This is set from the answer provided above</t>
  </si>
  <si>
    <t>dms_Specified_FinalYear</t>
  </si>
  <si>
    <t>The result here is returned to dms_CRCP_FinalYear_Result if response to Q in C73 is "yes" and dms_MultiYear_Flag is set to 1</t>
  </si>
  <si>
    <t xml:space="preserve"> Start year for 5.2 in Multi year ABC RINS</t>
  </si>
  <si>
    <t>dms_0502_Inst_Year</t>
  </si>
  <si>
    <t>=IF(dms_MultiYear_Flag=1,FRY,CRY)</t>
  </si>
  <si>
    <t>For single year RINS this is CRY - multi year RINS need to start a the end of the span of years (ie. FRY)</t>
  </si>
  <si>
    <t>EB RINS</t>
  </si>
  <si>
    <t>Calendar Year for table 3.6 data</t>
  </si>
  <si>
    <t>dms_0306_Year</t>
  </si>
  <si>
    <t>CA RINS</t>
  </si>
  <si>
    <t>Find how many rows in tables 6.3 sustained interruptions?</t>
  </si>
  <si>
    <t>dms_060301_MaxRows only returns a valid value when cover sheet is attached to a CA file</t>
  </si>
  <si>
    <t>=IF(dms_Model&lt;&gt;"CA","not a CA","Is a CA")</t>
  </si>
  <si>
    <t>dms_060301_Avg_Duration_Sustained_Int_Values present?</t>
  </si>
  <si>
    <t>dms_060301_checkvalue</t>
  </si>
  <si>
    <t>=IFERROR(IF(INDEX(dms_060301_Avg_Duration_Sustained_Int_Values,1,1)&lt;&gt;"","yes","no"),"no")</t>
  </si>
  <si>
    <t>=IF(AND(dms_Model="CA",(dms_060301_checkvalue="no")),"error - NR not present","no errors")</t>
  </si>
  <si>
    <t>Table 6.3.1 - last row reference</t>
  </si>
  <si>
    <t>dms_060301_LastRow</t>
  </si>
  <si>
    <t>=IFERROR(IF(dms_Model="CA",LOOKUP(2,1/(dms_060301_Avg_Duration_Sustained_Int_Values&lt;&gt;""),(ROW(dms_060301_Avg_Duration_Sustained_Int_Values))),"not a CA"),"6.3 not present")</t>
  </si>
  <si>
    <t>Table 6.3.1 - max number rows</t>
  </si>
  <si>
    <t>dms_060301_MaxRows</t>
  </si>
  <si>
    <t>=IFERROR(IF(dms_Model="CA",(dms_060301_LastRow-15),"not a CA"),"error")</t>
  </si>
  <si>
    <t>Table 6.6.3 - Public lighting repair - no. business days</t>
  </si>
  <si>
    <t>dms_663</t>
  </si>
  <si>
    <t>=INDEX(dms_663_List,MATCH(dms_TradingName,dms_TradingName_List))</t>
  </si>
  <si>
    <t>ARR or RESET RINS</t>
  </si>
  <si>
    <t>How many rows in tables 6.1 or 6.7?  (leap year?)</t>
  </si>
  <si>
    <r>
      <t xml:space="preserve">insert </t>
    </r>
    <r>
      <rPr>
        <i/>
        <u/>
        <sz val="10"/>
        <color theme="0" tint="-0.499984740745262"/>
        <rFont val="Arial"/>
        <family val="2"/>
      </rPr>
      <t>dms_LeapYear</t>
    </r>
    <r>
      <rPr>
        <i/>
        <sz val="10"/>
        <color theme="0" tint="-0.499984740745262"/>
        <rFont val="Arial"/>
        <family val="2"/>
      </rPr>
      <t xml:space="preserve"> NR if required</t>
    </r>
  </si>
  <si>
    <t>'dms_LeapYear is used to determine dms_060701_Max_Rows BUT it is only found on worksheet 6.1 or 6.7 and the date value in the cell is used to determine whether it is a leap year</t>
  </si>
  <si>
    <t>Is dms_LeapYear named range present?</t>
  </si>
  <si>
    <t>Table 6.7.1 - includes a leap year?</t>
  </si>
  <si>
    <t>dms_LeapYear_Result</t>
  </si>
  <si>
    <t>=IFERROR(IF(MONTH(DATE(YEAR(dms_LeapYear),2,29))=2,"is a leap year","not a leap year"),"dms_LeapYear not present")</t>
  </si>
  <si>
    <t>MaxRows if Reset and leap year</t>
  </si>
  <si>
    <t>dms_060701_Reset_MaxRows</t>
  </si>
  <si>
    <t>=IF(dms_LeapYear_Result="is a leap year",1827,1826)</t>
  </si>
  <si>
    <t>number of days present in Reset RIN table</t>
  </si>
  <si>
    <t>MaxRows if ARR and leap year</t>
  </si>
  <si>
    <t>dms_060701_ARR_MaxRows</t>
  </si>
  <si>
    <t>=IF(dms_LeapYear_Result="is a leap year",366,365)</t>
  </si>
  <si>
    <t>number of days present in ARR RIN table</t>
  </si>
  <si>
    <t>Table 6.7.1 - Max Rows (leap year/ non leap year)</t>
  </si>
  <si>
    <t>dms_060701_MaxRows</t>
  </si>
  <si>
    <t>=IF(dms_Model="ARR",dms_060701_ARR_MaxRows,IF(dms_Model="Reset",dms_060701_Reset_MaxRows,"not a relevant RIN type"))</t>
  </si>
  <si>
    <t>How many columns in 6.7?   (4 or 5 feeder categories)</t>
  </si>
  <si>
    <t>Table 6.7.1 - Last column (# of feeder categories &gt; 4)</t>
  </si>
  <si>
    <t>dms_060701_MaxCols</t>
  </si>
  <si>
    <t>=IF(dms_FifthFeeder_flag_NSP="NO",8,10)</t>
  </si>
  <si>
    <t>Table 6.7.1 - Number of offset rows</t>
  </si>
  <si>
    <t>dms_060701_OffsetRows</t>
  </si>
  <si>
    <t>=IF(dms_Model="ARR",15,9)</t>
  </si>
  <si>
    <t>Start date for telephone answering in 6.1 or 6.7?</t>
  </si>
  <si>
    <r>
      <t>Using</t>
    </r>
    <r>
      <rPr>
        <i/>
        <sz val="10"/>
        <color theme="4" tint="-0.499984740745262"/>
        <rFont val="Arial"/>
        <family val="2"/>
      </rPr>
      <t xml:space="preserve"> 060101</t>
    </r>
    <r>
      <rPr>
        <sz val="10"/>
        <color theme="4" tint="-0.499984740745262"/>
        <rFont val="Arial"/>
        <family val="2"/>
      </rPr>
      <t xml:space="preserve"> as naming standard not 060701 for start dates</t>
    </r>
  </si>
  <si>
    <t>Table 6.1.1 and 6.7.1 - Start Date as Text</t>
  </si>
  <si>
    <t>=IF(SUM(dms_SingleYear_Model)&gt;1,(CONCATENATE(IF(LEN(CRY)=4,"1-Jan-","1-Jul-"),LEFT(CRY,4))),(CONCATENATE(IF(LEN(CRCP_y4)=4,"1-Jan-","1-Jul-"),LEFT(CRCP_y4,4))))</t>
  </si>
  <si>
    <t>Table 6.1.1 and 6.7.1 - Start Date as Date Value</t>
  </si>
  <si>
    <t>dms_060101_StartDateVal</t>
  </si>
  <si>
    <t>=DATEVALUE(dms_060701_StartDateTxt)</t>
  </si>
  <si>
    <t>ARRs</t>
  </si>
  <si>
    <t>How many rows in table 6.8?</t>
  </si>
  <si>
    <t>insert dms_060801_StartCell NR if required</t>
  </si>
  <si>
    <r>
      <t xml:space="preserve">dms_060801_StartCell </t>
    </r>
    <r>
      <rPr>
        <i/>
        <sz val="10"/>
        <color theme="0" tint="-0.499984740745262"/>
        <rFont val="Arial"/>
        <family val="2"/>
      </rPr>
      <t>is only found on worksheet 6.8 and is used to determine the starting date for the date range</t>
    </r>
  </si>
  <si>
    <t>Is dms_060801_StartCell named range present?</t>
  </si>
  <si>
    <t>yes</t>
  </si>
  <si>
    <t>=IFERROR(IF((ROW(dms_060801_StartCell)-1)=1,"yes","yes"),"no")</t>
  </si>
  <si>
    <t>Table 6.8 - Number of offset rows</t>
  </si>
  <si>
    <t>dms_0608_OffsetRows</t>
  </si>
  <si>
    <t>=IFERROR(IF(dms_Model="ARR",(ROW(dms_060801_StartCell)-1),"not an ARR"),"6.8 error")</t>
  </si>
  <si>
    <t>Table 6.8 - Last row</t>
  </si>
  <si>
    <t>dms_0608_LastRow</t>
  </si>
  <si>
    <t>Table 6.8 - MaxRows</t>
  </si>
  <si>
    <t>dms_060801_MaxRows</t>
  </si>
  <si>
    <t>TNSP RESET RINS</t>
  </si>
  <si>
    <t>Table 7.9.4 only appears in TNSPs Reset RIN</t>
  </si>
  <si>
    <t>Table 7.9.4 - first year</t>
  </si>
  <si>
    <t>dms_070904_Start_Year</t>
  </si>
  <si>
    <t>=LEFT(PRCP_y3,4)</t>
  </si>
  <si>
    <t>SUBSET FILES</t>
  </si>
  <si>
    <t>Is this Submission File a Subset File</t>
  </si>
  <si>
    <t>dms_Partial</t>
  </si>
  <si>
    <t>MISC</t>
  </si>
  <si>
    <t>Distribution Determination Reference</t>
  </si>
  <si>
    <t>dms_DeterminationRef</t>
  </si>
  <si>
    <t>Public lighting NSP?</t>
  </si>
  <si>
    <t>dms_Public_Lighting</t>
  </si>
  <si>
    <t>=INDEX(dms_Public_Lighting_List,MATCH(dms_TradingName,dms_TradingName_List))</t>
  </si>
  <si>
    <t>CBD Feeder for this business</t>
  </si>
  <si>
    <t>dms_CBD_flag_NSP</t>
  </si>
  <si>
    <t>Urban Feeder for this business</t>
  </si>
  <si>
    <t>dms_Urban_flag_NSP</t>
  </si>
  <si>
    <t>Short rural Feeder for this business</t>
  </si>
  <si>
    <t>dms_ShortRural_flag_NSP</t>
  </si>
  <si>
    <t>Long rural Feeder for this business</t>
  </si>
  <si>
    <t>dms_LongRural_flag_NSP</t>
  </si>
  <si>
    <t>Fifth Feeder Category (eg. TasNetworks (D))</t>
  </si>
  <si>
    <t>dms_FifthFeeder_flag_NSP</t>
  </si>
  <si>
    <t>=INDEX(dms_FeederType_5_flag,MATCH(dms_TradingName,dms_TradingName_List))</t>
  </si>
  <si>
    <t>DISCARD FILES</t>
  </si>
  <si>
    <t>discard this record?</t>
  </si>
  <si>
    <t>dms_DISCARD</t>
  </si>
  <si>
    <t>If record is to be discarded from DB set this flag to YES</t>
  </si>
  <si>
    <t>USES NAMED RANGES FLAG</t>
  </si>
  <si>
    <t>dms_Defined_Names_Used</t>
  </si>
  <si>
    <t>REGULATORY YEARS FOR MULTI RYE SUBMISSIONS</t>
  </si>
  <si>
    <t>Multiple RYE flag</t>
  </si>
  <si>
    <t>dms_Multi_RYE_flag</t>
  </si>
  <si>
    <t>Manually specify RYE</t>
  </si>
  <si>
    <t>Named ranges to apply</t>
  </si>
  <si>
    <t>dms_RYE_01</t>
  </si>
  <si>
    <t>dms_RYE_02</t>
  </si>
  <si>
    <t>dms_RYE_03</t>
  </si>
  <si>
    <t>dms_RYE_04</t>
  </si>
  <si>
    <t>dms_RYE_05</t>
  </si>
  <si>
    <t>dms_RYE_06</t>
  </si>
  <si>
    <t>dms_RYE_07</t>
  </si>
  <si>
    <t>dms_RYE_08</t>
  </si>
  <si>
    <t>dms_RYE_09</t>
  </si>
  <si>
    <t>EXPENDITURE</t>
  </si>
  <si>
    <t>$0's, nominal</t>
  </si>
  <si>
    <t>Description</t>
  </si>
  <si>
    <t>Total</t>
  </si>
  <si>
    <t>Asset Class</t>
  </si>
  <si>
    <t>REGULATORY REPORTING STATEMENT - HISTORICAL INFORMATION</t>
  </si>
  <si>
    <t>2010-11 to 2017-18</t>
  </si>
  <si>
    <t>F2. CAPITAL EXPENDITURE</t>
  </si>
  <si>
    <t>Distribution revenue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</si>
  <si>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</si>
  <si>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</si>
  <si>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</si>
  <si>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</si>
  <si>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</si>
  <si>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</si>
  <si>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</si>
  <si>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</si>
  <si>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</si>
  <si>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</si>
  <si>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</si>
  <si>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</si>
  <si>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</si>
  <si>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0</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</si>
  <si>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</si>
  <si>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</si>
  <si>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</si>
  <si>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</si>
  <si>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</si>
  <si>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</si>
  <si>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</si>
  <si>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</si>
  <si>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</si>
  <si>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</si>
  <si>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</si>
  <si>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</si>
  <si>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Telemetry</t>
  </si>
  <si>
    <t>Meter replacement</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</si>
  <si>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</si>
  <si>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</si>
  <si>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</si>
  <si>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</si>
  <si>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</si>
  <si>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</si>
  <si>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</si>
  <si>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</si>
  <si>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</si>
  <si>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</si>
  <si>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</si>
  <si>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</si>
  <si>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</si>
  <si>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</si>
  <si>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</si>
  <si>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</si>
  <si>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</si>
  <si>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</si>
  <si>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Mains replacement</t>
  </si>
  <si>
    <t>Mains augmentation</t>
  </si>
  <si>
    <t>ICT</t>
  </si>
  <si>
    <t>Capitalised network overheads</t>
  </si>
  <si>
    <t>Capitalised corporate overheads</t>
  </si>
  <si>
    <t>Other capex</t>
  </si>
  <si>
    <t>E1. EXPENDITURE SUMMARY</t>
  </si>
  <si>
    <t>Mains</t>
  </si>
  <si>
    <t>Services</t>
  </si>
  <si>
    <t>VOLUMES</t>
  </si>
  <si>
    <t>Residential</t>
  </si>
  <si>
    <t>Units</t>
  </si>
  <si>
    <t>Meters</t>
  </si>
  <si>
    <t>In-house labour expenditure</t>
  </si>
  <si>
    <t>Labour expenditure outsourced to related parties</t>
  </si>
  <si>
    <t>Labour expenditure outsourced to unrelated parties</t>
  </si>
  <si>
    <t xml:space="preserve">E11. LABOUR </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</si>
  <si>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</si>
  <si>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</si>
  <si>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</si>
  <si>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</si>
  <si>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</si>
  <si>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</si>
  <si>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</si>
  <si>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</si>
  <si>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</si>
  <si>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</si>
  <si>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</si>
  <si>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</si>
  <si>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</si>
  <si>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 xml:space="preserve"> 0's</t>
  </si>
  <si>
    <t>City Gate</t>
  </si>
  <si>
    <t>Field Regulator</t>
  </si>
  <si>
    <t>District Regulator</t>
  </si>
  <si>
    <t>Place of loss</t>
  </si>
  <si>
    <t>Broken pipe - cracked</t>
  </si>
  <si>
    <t>Broken pipe - full break</t>
  </si>
  <si>
    <t>Corrosion</t>
  </si>
  <si>
    <t>Joint leak</t>
  </si>
  <si>
    <t>3rd party damage</t>
  </si>
  <si>
    <t>Identified water in main</t>
  </si>
  <si>
    <t>N2. NETWORK CHARACTERISTICS</t>
  </si>
  <si>
    <t>Total customer connections</t>
  </si>
  <si>
    <t>Total customer disconnections</t>
  </si>
  <si>
    <t>S1. CUSTOMER NUMBERS</t>
  </si>
  <si>
    <t>Count of outage events</t>
  </si>
  <si>
    <t>Outages affecting 5+ customers</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</si>
  <si>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</si>
  <si>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</si>
  <si>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</si>
  <si>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</si>
  <si>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</si>
  <si>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</si>
  <si>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</si>
  <si>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</si>
  <si>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</si>
  <si>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</si>
  <si>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</si>
  <si>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</si>
  <si>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</si>
  <si>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</si>
  <si>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</si>
  <si>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</si>
  <si>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</si>
  <si>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</si>
  <si>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</si>
  <si>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</si>
  <si>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</si>
  <si>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</si>
  <si>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</si>
  <si>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</si>
  <si>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</si>
  <si>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</si>
  <si>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</si>
  <si>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</si>
  <si>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</si>
  <si>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</si>
  <si>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</si>
  <si>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</si>
  <si>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</si>
  <si>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</si>
  <si>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</si>
  <si>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</si>
  <si>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</si>
  <si>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</si>
  <si>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dms_N0205_AssetType</t>
  </si>
  <si>
    <t>TOTAL</t>
  </si>
  <si>
    <t>Poor Pressure event - meters</t>
  </si>
  <si>
    <t>Length of network subject to survey</t>
  </si>
  <si>
    <t>Other polyethylene</t>
  </si>
  <si>
    <t>Tables E11.1 and E11.2 deliberately omitted.</t>
  </si>
  <si>
    <t>Number per KM</t>
  </si>
  <si>
    <t>Service Name</t>
  </si>
  <si>
    <t>Number of meters surveyed</t>
  </si>
  <si>
    <t>Number of services surveyed</t>
  </si>
  <si>
    <t>Confidential</t>
  </si>
  <si>
    <t>dms_Confid_status_List</t>
  </si>
  <si>
    <t>Data ingestion data quality</t>
  </si>
  <si>
    <t>dms_DataQuality</t>
  </si>
  <si>
    <t>=IF(dms_DQ_2="Confidential","Consolidated","Public")</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</si>
  <si>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</si>
  <si>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</si>
  <si>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</si>
  <si>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</si>
  <si>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</si>
  <si>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</si>
  <si>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</si>
  <si>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</si>
  <si>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</si>
  <si>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</si>
  <si>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</si>
  <si>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E11.3 - LABOUR / NON-LABOUR EXPENDITURE SPLIT</t>
  </si>
  <si>
    <t>E11.3.1 - OPEX</t>
  </si>
  <si>
    <t>E11.3.2 - CAPEX</t>
  </si>
  <si>
    <t>E21.1 - VOLUMES</t>
  </si>
  <si>
    <t>N2.1 - NETWORK LENGTH - BY PRESSURE AND ASSET TYPE</t>
  </si>
  <si>
    <t>N2.1.1 - LOW PRESSURE</t>
  </si>
  <si>
    <t>N2.1.2 - MEDIUM PRESSURE</t>
  </si>
  <si>
    <t>N2.1.3 - HIGH PRESSURE</t>
  </si>
  <si>
    <t>N2.1.4 - TRANSMISSION</t>
  </si>
  <si>
    <t>N2.2 - CITY GATES/REGULATORS</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</si>
  <si>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</si>
  <si>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</si>
  <si>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</si>
  <si>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</si>
  <si>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</si>
  <si>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</si>
  <si>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</si>
  <si>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</si>
  <si>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</si>
  <si>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</si>
  <si>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</si>
  <si>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</si>
  <si>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</si>
  <si>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</si>
  <si>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</si>
  <si>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</si>
  <si>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</si>
  <si>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</si>
  <si>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</si>
  <si>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</si>
  <si>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F1.3.1 - REVENUE</t>
  </si>
  <si>
    <t>F1.3.2 - EXPENDITURE</t>
  </si>
  <si>
    <t>F1.3.3 - PROFIT</t>
  </si>
  <si>
    <t>F1.1.1 - REVENUE</t>
  </si>
  <si>
    <t>F1.1.2 - EXPENDITURE</t>
  </si>
  <si>
    <t>F1.1.3 - PROFIT</t>
  </si>
  <si>
    <t>F2.4 - CAPEX BY ASSET CLASS</t>
  </si>
  <si>
    <t>F2.5 - CAPITAL CONTRIBUTIONS BY ASSET CLASS</t>
  </si>
  <si>
    <t>F2.6 - DISPOSALS BY ASSET CLASS</t>
  </si>
  <si>
    <t>F2.6.2 - ACTUAL</t>
  </si>
  <si>
    <t>F4.1 - OPEX - BY PURPOSE</t>
  </si>
  <si>
    <t>F4.1.1 - AUDITED STATUTORY ACCOUNTS</t>
  </si>
  <si>
    <t>F4.1.2 - ADJUSTMENTS</t>
  </si>
  <si>
    <t>F4.1.3 - DISTRIBUTION BUSINESS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</si>
  <si>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</si>
  <si>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</si>
  <si>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</si>
  <si>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</si>
  <si>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</si>
  <si>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</si>
  <si>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</si>
  <si>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 xml:space="preserve">Tariff </t>
  </si>
  <si>
    <t>S1.2.4 - TOTAL CUSTOMER DISCONNECTIONS</t>
  </si>
  <si>
    <t>S1.2.3 - TOTAL CUSTOMER CONNECTIONS</t>
  </si>
  <si>
    <t>S1.2 - CUSTOMER NUMBERS - BY TARIFF</t>
  </si>
  <si>
    <t>Tariff</t>
  </si>
  <si>
    <t>Business &amp; other details</t>
  </si>
  <si>
    <t>E1. Expenditure Summary</t>
  </si>
  <si>
    <t>E11. Labour</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</si>
  <si>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</si>
  <si>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</si>
  <si>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</si>
  <si>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</si>
  <si>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</si>
  <si>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</si>
  <si>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</si>
  <si>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</si>
  <si>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</si>
  <si>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</si>
  <si>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</si>
  <si>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</si>
  <si>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</si>
  <si>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</si>
  <si>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</si>
  <si>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</si>
  <si>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</si>
  <si>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</si>
  <si>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</si>
  <si>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</si>
  <si>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</si>
  <si>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</si>
  <si>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F3.1 - REFERENCE SERVICES</t>
  </si>
  <si>
    <t>F3.2 - ANCILLARY REFERENCE SERVICES</t>
  </si>
  <si>
    <t>F3.3 - REBATEABLE SERVICES</t>
  </si>
  <si>
    <t>F3.4 - NON-REFERENCE SERVICES</t>
  </si>
  <si>
    <t>F3.5 - TOTAL REVENUE</t>
  </si>
  <si>
    <t>F3.1.1 -  REVENUE - BY TARIFF</t>
  </si>
  <si>
    <t>Outages with &gt;12 hr supply interruption</t>
  </si>
  <si>
    <t>F1.3 - DISTRIBUTION BUSINESS</t>
  </si>
  <si>
    <t>F6.3.2 - OPEX</t>
  </si>
  <si>
    <t>AER CONDITIONAL FORMATTING</t>
  </si>
  <si>
    <t>=INDEX(dms_CF_3.6.1, MATCH(dms_TradingName,dms_CF_TradingName))="Y"</t>
  </si>
  <si>
    <t>=INDEX(dms_CF_3.6.6, MATCH(dms_TradingName,dms_CF_TradingName))="Y"</t>
  </si>
  <si>
    <t>=INDEX(dms_CF_3.6.8, MATCH(dms_TradingName,dms_CF_TradingName))="Y"</t>
  </si>
  <si>
    <t>=INDEX(dms_CF_4.4.1_Neg, MATCH(dms_TradingName,dms_CF_TradingName))="Y"</t>
  </si>
  <si>
    <t>dms_CF_3.6.8</t>
  </si>
  <si>
    <t>dms_CF_4.4.1</t>
  </si>
  <si>
    <t>dms_CF_MAIFI_flag</t>
  </si>
  <si>
    <t>Amended</t>
  </si>
  <si>
    <t>Worksheet 6.2 STPIS reliability</t>
  </si>
  <si>
    <t>Formula</t>
  </si>
  <si>
    <t>Applied to:</t>
  </si>
  <si>
    <t>=INDEX(dms_CBD_flag,MATCH(dms_TradingName,dms_TradingName_List))="NO"</t>
  </si>
  <si>
    <t>$D$11,$D$17,$D$23,$D$33,$D$39,$D$45,$D$55,$D$61,$D$67,$D$77,$D$83,$D$89</t>
  </si>
  <si>
    <t>=INDEX(dms_Urban_flag,MATCH(dms_TradingName,dms_TradingName_List))="NO"</t>
  </si>
  <si>
    <t>$D$12,$D$18,$D$24,$D$56,$D$62,$D$78,$D$68,$D$84</t>
  </si>
  <si>
    <t>=INDEX(dms_ShortRural_flag,MATCH(dms_TradingName,dms_TradingName_List))="NO"</t>
  </si>
  <si>
    <t>$D$13,$D$19,$D$25,$D$57,$D$63,$D$69,$D$79,$D$85</t>
  </si>
  <si>
    <t>=INDEX(dms_LongRural_flag,MATCH(dms_TradingName,dms_TradingName_List))="NO"</t>
  </si>
  <si>
    <t>$D$14,$D$20,$D$26,$D$58,$D$64,$D$65,$D$70,$D$71,$D$80,$D$86</t>
  </si>
  <si>
    <t>=INDEX(dms_FeederType_5_flag,MATCH(dms_TradingName,dms_TradingName_List))="NO"</t>
  </si>
  <si>
    <t>$D$87,$D$81,$D$71,$D$65,$D$59,$D$49,$D$43,$D$37,$D$21,$D$15</t>
  </si>
  <si>
    <t>=dms_MAIFI_Flag="No"</t>
  </si>
  <si>
    <t>$D$55:$D$72</t>
  </si>
  <si>
    <t>=(INDEX(dms_Model_Span,MATCH(dms_Model,dms_Model_List))&gt;1)</t>
  </si>
  <si>
    <t>=(INDEX(dms_Model_Span,MATCH(dms_Model,dms_Model_List))=1)</t>
  </si>
  <si>
    <t>dms_1</t>
  </si>
  <si>
    <t>dms_2</t>
  </si>
  <si>
    <t>dms_3</t>
  </si>
  <si>
    <t>dms_4</t>
  </si>
  <si>
    <t>dms_5</t>
  </si>
  <si>
    <t>dms_NUM</t>
  </si>
  <si>
    <t>dms_NUM%</t>
  </si>
  <si>
    <t>dms_Row_Locked</t>
  </si>
  <si>
    <t>dms_Row1</t>
  </si>
  <si>
    <t>dms_Row2</t>
  </si>
  <si>
    <t>dms_T1</t>
  </si>
  <si>
    <t>dms_T2</t>
  </si>
  <si>
    <t>dms_BH</t>
  </si>
  <si>
    <t>dms_BY1</t>
  </si>
  <si>
    <t>dms_BY2</t>
  </si>
  <si>
    <t>dms_GH</t>
  </si>
  <si>
    <t>dms_GY1</t>
  </si>
  <si>
    <t>dms_GY2</t>
  </si>
  <si>
    <t>AER NAMED RANGES</t>
  </si>
  <si>
    <t>DROP DOWN SELECTORS USED IN WORKBOOKS</t>
  </si>
  <si>
    <t>COVER SHEET</t>
  </si>
  <si>
    <t>-- select --</t>
  </si>
  <si>
    <t>This is used to create an image to insert on 6.3 STPIS sheet - not for dropdown lists.</t>
  </si>
  <si>
    <t>GAS</t>
  </si>
  <si>
    <t>CA &amp; RESET RINS 
DNSP</t>
  </si>
  <si>
    <t>dms_DNSP_020301_SubstationType</t>
  </si>
  <si>
    <t>dms_DNSP_020301_ProjectType</t>
  </si>
  <si>
    <t>dms_DNSP_020301_ProjectTrigger</t>
  </si>
  <si>
    <t>dms_DNSP_020302_ProjectType</t>
  </si>
  <si>
    <t>dms_DNSP_020302_ProjectTrigger</t>
  </si>
  <si>
    <t>Subtransmission substation</t>
  </si>
  <si>
    <t>Demand growth</t>
  </si>
  <si>
    <t>Substation upgrade - capacity</t>
  </si>
  <si>
    <t xml:space="preserve"> Voltage issues</t>
  </si>
  <si>
    <t>Switching station</t>
  </si>
  <si>
    <t>Substation upgrade - voltage</t>
  </si>
  <si>
    <t xml:space="preserve"> Reactive power issue</t>
  </si>
  <si>
    <t xml:space="preserve"> Fault level issues</t>
  </si>
  <si>
    <t xml:space="preserve"> Safety</t>
  </si>
  <si>
    <t xml:space="preserve"> Net market benefit</t>
  </si>
  <si>
    <t xml:space="preserve"> Environment</t>
  </si>
  <si>
    <t xml:space="preserve"> Other</t>
  </si>
  <si>
    <t xml:space="preserve">CA &amp; RESET RINS 
TNSP </t>
  </si>
  <si>
    <t>dms_TNSP_0203_SubstationType</t>
  </si>
  <si>
    <t>dms_TNSP_020301_ProjectType</t>
  </si>
  <si>
    <t>dms_TNSP_020301_ProjectTrigger</t>
  </si>
  <si>
    <t>dms_TNSP_020302_ProjectType</t>
  </si>
  <si>
    <t>dms_TNSP_0203_ProjectTrigger</t>
  </si>
  <si>
    <t>Terminal station</t>
  </si>
  <si>
    <t>Transmission substation</t>
  </si>
  <si>
    <t>Net market benefit</t>
  </si>
  <si>
    <t>NAMED RANGES USED IN ETL PROCESS</t>
  </si>
  <si>
    <t>CA &amp; RESET RINS 
DNSP ONLY</t>
  </si>
  <si>
    <t>metres</t>
  </si>
  <si>
    <t>CA &amp; RESET RINS 
DNSP &amp; TNSP</t>
  </si>
  <si>
    <r>
      <t xml:space="preserve">EB &amp; RESET RINS 
</t>
    </r>
    <r>
      <rPr>
        <sz val="26"/>
        <color rgb="FFFF0000"/>
        <rFont val="Calibri"/>
        <family val="2"/>
        <scheme val="minor"/>
      </rPr>
      <t>DNSP ONLY</t>
    </r>
  </si>
  <si>
    <t>WHEN INSERTING COVER SHEET INTO A TNSP FILE - APPLY THESE NAMED RANGES</t>
  </si>
  <si>
    <r>
      <t xml:space="preserve">EB &amp; RESET RINS 
</t>
    </r>
    <r>
      <rPr>
        <sz val="26"/>
        <color rgb="FFFF0000"/>
        <rFont val="Calibri"/>
        <family val="2"/>
        <scheme val="minor"/>
      </rPr>
      <t>TNSP ONLY</t>
    </r>
  </si>
  <si>
    <t>EB &amp; RESET RINS 
DNSP &amp; TNSP</t>
  </si>
  <si>
    <t>dms_EB_RAB_PIT</t>
  </si>
  <si>
    <t>Beginning of year</t>
  </si>
  <si>
    <t>End of year</t>
  </si>
  <si>
    <t>ARR 
DNSP ONLY</t>
  </si>
  <si>
    <t>Spare</t>
  </si>
  <si>
    <t>dms_Beg</t>
  </si>
  <si>
    <t>dms_Mid</t>
  </si>
  <si>
    <t>dms_End</t>
  </si>
  <si>
    <t>Mid year</t>
  </si>
  <si>
    <t>End of Year</t>
  </si>
  <si>
    <t>dms_PTRM_RAB_PIT</t>
  </si>
  <si>
    <t>dms_PTRM_TAB_PIT</t>
  </si>
  <si>
    <t xml:space="preserve">STPIS &amp; MIC NAMED RANGES </t>
  </si>
  <si>
    <t>Use these to add to specific worksheets in existing files</t>
  </si>
  <si>
    <t>AER LOOKUP TABLES</t>
  </si>
  <si>
    <t>dms_PRCPlength_List</t>
  </si>
  <si>
    <t>dms_Model_Name_Format1</t>
  </si>
  <si>
    <t>dms_Model_Span_List</t>
  </si>
  <si>
    <t>Annual Reporting</t>
  </si>
  <si>
    <t>Category Analysis</t>
  </si>
  <si>
    <t>Capitlal Expenditure</t>
  </si>
  <si>
    <t>Economic Benchmarking</t>
  </si>
  <si>
    <t>Pricing</t>
  </si>
  <si>
    <t>Pricing Proposal</t>
  </si>
  <si>
    <t>PRICING PROPOSAL</t>
  </si>
  <si>
    <t>Post Tax Revenue Model</t>
  </si>
  <si>
    <t>Regulatory Reporting (Reset)</t>
  </si>
  <si>
    <t>Roll Forward Model</t>
  </si>
  <si>
    <t>Weighted Average Cost of Capital</t>
  </si>
  <si>
    <t>PREVIOUS</t>
  </si>
  <si>
    <t>CURRENT</t>
  </si>
  <si>
    <t>FORTHCOMING</t>
  </si>
  <si>
    <t>1987-88</t>
  </si>
  <si>
    <t>1988</t>
  </si>
  <si>
    <t>1988-89</t>
  </si>
  <si>
    <t>1989</t>
  </si>
  <si>
    <t>1989-90</t>
  </si>
  <si>
    <t>1990</t>
  </si>
  <si>
    <t>FRCP_y3</t>
  </si>
  <si>
    <t>1990-91</t>
  </si>
  <si>
    <t>1991</t>
  </si>
  <si>
    <t>1991-92</t>
  </si>
  <si>
    <t>1992</t>
  </si>
  <si>
    <t>1992-93</t>
  </si>
  <si>
    <t>1993</t>
  </si>
  <si>
    <t>PRCP_y6</t>
  </si>
  <si>
    <t>FRCP_y6</t>
  </si>
  <si>
    <t>1993-94</t>
  </si>
  <si>
    <t>1994</t>
  </si>
  <si>
    <t>PRCP_y7</t>
  </si>
  <si>
    <t>FRCP_y7</t>
  </si>
  <si>
    <t>1994-95</t>
  </si>
  <si>
    <t>1995</t>
  </si>
  <si>
    <t>PRCP_y8</t>
  </si>
  <si>
    <t>FRCP_y8</t>
  </si>
  <si>
    <t>1995-96</t>
  </si>
  <si>
    <t>1996</t>
  </si>
  <si>
    <t>PRCP_y9</t>
  </si>
  <si>
    <t>FRCP_y9</t>
  </si>
  <si>
    <t>1996-97</t>
  </si>
  <si>
    <t>1997</t>
  </si>
  <si>
    <t>PRCP_y10</t>
  </si>
  <si>
    <t>FRCP_y10</t>
  </si>
  <si>
    <t>1997-98</t>
  </si>
  <si>
    <t>1998</t>
  </si>
  <si>
    <t>PRCP_y11</t>
  </si>
  <si>
    <t>FRCP_y11</t>
  </si>
  <si>
    <t>1998-99</t>
  </si>
  <si>
    <t>1999</t>
  </si>
  <si>
    <t>PRCP_y12</t>
  </si>
  <si>
    <t>FRCP_y12</t>
  </si>
  <si>
    <t>1999-00</t>
  </si>
  <si>
    <t>2000</t>
  </si>
  <si>
    <t>PRCP_y13</t>
  </si>
  <si>
    <t>FRCP_y13</t>
  </si>
  <si>
    <t>2000-01</t>
  </si>
  <si>
    <t>2001</t>
  </si>
  <si>
    <t>PRCP_y14</t>
  </si>
  <si>
    <t>FRCP_y14</t>
  </si>
  <si>
    <t>2001-02</t>
  </si>
  <si>
    <t>2002</t>
  </si>
  <si>
    <t>PRCP_y15</t>
  </si>
  <si>
    <t>FRCP_y15</t>
  </si>
  <si>
    <t>2002-03</t>
  </si>
  <si>
    <t>2003</t>
  </si>
  <si>
    <t>PRCP_y16</t>
  </si>
  <si>
    <t>CRCP_y16</t>
  </si>
  <si>
    <t>FRCP_y16</t>
  </si>
  <si>
    <t>2003-04</t>
  </si>
  <si>
    <t>2004</t>
  </si>
  <si>
    <t>2004-05</t>
  </si>
  <si>
    <t>2005</t>
  </si>
  <si>
    <t>CRY - FRY</t>
  </si>
  <si>
    <t>2036-37</t>
  </si>
  <si>
    <t>2037</t>
  </si>
  <si>
    <t>AER ETL INFORMATION</t>
  </si>
  <si>
    <t>Full trading name</t>
  </si>
  <si>
    <t>dms_TradingNameFull</t>
  </si>
  <si>
    <t>Trading name</t>
  </si>
  <si>
    <t>Selected here</t>
  </si>
  <si>
    <t>Model / RIN</t>
  </si>
  <si>
    <r>
      <t xml:space="preserve">Read from </t>
    </r>
    <r>
      <rPr>
        <i/>
        <sz val="11"/>
        <color theme="1"/>
        <rFont val="Calibri"/>
        <family val="2"/>
        <scheme val="minor"/>
      </rPr>
      <t>Business &amp; other details</t>
    </r>
  </si>
  <si>
    <t>dms_Source</t>
  </si>
  <si>
    <t>Data quality</t>
  </si>
  <si>
    <t>dms_DQ_1</t>
  </si>
  <si>
    <t>Data status</t>
  </si>
  <si>
    <t>dms_DQ_2</t>
  </si>
  <si>
    <t>Amendment reason</t>
  </si>
  <si>
    <t>dms_AmendmentReason</t>
  </si>
  <si>
    <t>Submission date</t>
  </si>
  <si>
    <t>Redundant</t>
  </si>
  <si>
    <t>Pre-populated from lookup table</t>
  </si>
  <si>
    <t>Relevant for PTRM, RFMs and Reset RINS</t>
  </si>
  <si>
    <t>$ REAL REFERENCES</t>
  </si>
  <si>
    <t xml:space="preserve">Does the named range CRY exist in this file? </t>
  </si>
  <si>
    <t>=IF(SUM(dms_SingleYear_Model)&gt;0,CONCATENATE(dms_RPTMonth)&amp;" "&amp;VALUE((LEFT(CRY,2))&amp;RIGHT(CRY,2)),CONCATENATE(dms_RPTMonth)&amp;" "&amp;VALUE((LEFT(dms_RYE,2)&amp;RIGHT(dms_RYE,2))))</t>
  </si>
  <si>
    <t>All potential values for Regulatory Years or RYEs as calculated</t>
  </si>
  <si>
    <t>dms_start_year</t>
  </si>
  <si>
    <r>
      <rPr>
        <b/>
        <sz val="11"/>
        <color theme="1"/>
        <rFont val="Calibri"/>
        <family val="2"/>
        <scheme val="minor"/>
      </rPr>
      <t>FRCP_y1</t>
    </r>
    <r>
      <rPr>
        <sz val="11"/>
        <color theme="1"/>
        <rFont val="Calibri"/>
        <family val="2"/>
        <scheme val="minor"/>
      </rPr>
      <t xml:space="preserve"> from cover sheet</t>
    </r>
  </si>
  <si>
    <t>dms_CRY_start_year</t>
  </si>
  <si>
    <t>dms_CRY_start_row</t>
  </si>
  <si>
    <t>dms_FRCP_start_row</t>
  </si>
  <si>
    <r>
      <t xml:space="preserve">Uses </t>
    </r>
    <r>
      <rPr>
        <b/>
        <sz val="11"/>
        <color theme="1"/>
        <rFont val="Calibri"/>
        <family val="2"/>
        <scheme val="minor"/>
      </rPr>
      <t>FRCP_y1</t>
    </r>
    <r>
      <rPr>
        <sz val="11"/>
        <color theme="1"/>
        <rFont val="Calibri"/>
        <family val="2"/>
        <scheme val="minor"/>
      </rPr>
      <t xml:space="preserve"> as a start reference</t>
    </r>
  </si>
  <si>
    <t>dms_CRCP_start_row</t>
  </si>
  <si>
    <r>
      <t xml:space="preserve">Uses the value in </t>
    </r>
    <r>
      <rPr>
        <b/>
        <sz val="11"/>
        <color theme="1"/>
        <rFont val="Calibri"/>
        <family val="2"/>
        <scheme val="minor"/>
      </rPr>
      <t>dms_CRCPlength_Num</t>
    </r>
  </si>
  <si>
    <t>dms_PRCP_start_row</t>
  </si>
  <si>
    <r>
      <t xml:space="preserve">Uses the value in </t>
    </r>
    <r>
      <rPr>
        <b/>
        <sz val="11"/>
        <color theme="1"/>
        <rFont val="Calibri"/>
        <family val="2"/>
        <scheme val="minor"/>
      </rPr>
      <t>dms_CRCPlength_Num</t>
    </r>
    <r>
      <rPr>
        <sz val="11"/>
        <color theme="1"/>
        <rFont val="Calibri"/>
        <family val="2"/>
        <scheme val="minor"/>
      </rPr>
      <t xml:space="preserve"> and </t>
    </r>
    <r>
      <rPr>
        <b/>
        <sz val="11"/>
        <color theme="1"/>
        <rFont val="Calibri"/>
        <family val="2"/>
        <scheme val="minor"/>
      </rPr>
      <t>dms_PRCPlength_Num</t>
    </r>
  </si>
  <si>
    <t>dms_RYE_start_row</t>
  </si>
  <si>
    <r>
      <t xml:space="preserve">Uses the value in </t>
    </r>
    <r>
      <rPr>
        <b/>
        <sz val="11"/>
        <color theme="1"/>
        <rFont val="Calibri"/>
        <family val="2"/>
        <scheme val="minor"/>
      </rPr>
      <t>dms_FRCPlength_Num-1</t>
    </r>
  </si>
  <si>
    <t>FRCP_start_year</t>
  </si>
  <si>
    <t>Converts the FRCP start row to display the year</t>
  </si>
  <si>
    <t>CRCP_start_year</t>
  </si>
  <si>
    <t>Converts the CRCP start row to display the year</t>
  </si>
  <si>
    <t>PRCP_start_year</t>
  </si>
  <si>
    <t>Converts the PRCP start row to display the year</t>
  </si>
  <si>
    <t>FRCP_final_year</t>
  </si>
  <si>
    <t>Finds the FRCP final year</t>
  </si>
  <si>
    <t>CRCP_final_year</t>
  </si>
  <si>
    <t>Finds the CRCP final year</t>
  </si>
  <si>
    <t>PRCP_final_year</t>
  </si>
  <si>
    <t>Finds the PRCP final year</t>
  </si>
  <si>
    <t>dms_Reset_final_year</t>
  </si>
  <si>
    <t>For Resets and PTRM/RFMs (same as FRCP_final_year)</t>
  </si>
  <si>
    <t>dms_SpecifiedYear_final_year</t>
  </si>
  <si>
    <r>
      <rPr>
        <b/>
        <sz val="11"/>
        <color theme="1"/>
        <rFont val="Calibri"/>
        <family val="2"/>
        <scheme val="minor"/>
      </rPr>
      <t xml:space="preserve">FRY </t>
    </r>
    <r>
      <rPr>
        <sz val="11"/>
        <color theme="1"/>
        <rFont val="Calibri"/>
        <family val="2"/>
        <scheme val="minor"/>
      </rPr>
      <t>from cover sheet</t>
    </r>
  </si>
  <si>
    <t>dms_DollarReal_year</t>
  </si>
  <si>
    <r>
      <t xml:space="preserve">Uses the value in </t>
    </r>
    <r>
      <rPr>
        <b/>
        <sz val="11"/>
        <color theme="1"/>
        <rFont val="Calibri"/>
        <family val="2"/>
        <scheme val="minor"/>
      </rPr>
      <t>CRCP_final_year</t>
    </r>
  </si>
  <si>
    <t>dms_Previous_DollarReal_year</t>
  </si>
  <si>
    <r>
      <t>Uses the value in P</t>
    </r>
    <r>
      <rPr>
        <b/>
        <sz val="11"/>
        <color theme="1"/>
        <rFont val="Calibri"/>
        <family val="2"/>
        <scheme val="minor"/>
      </rPr>
      <t>RCP_final_year</t>
    </r>
  </si>
  <si>
    <t>dms_CRY_RYE</t>
  </si>
  <si>
    <t>For ABC single year RINS</t>
  </si>
  <si>
    <t>dms_Reset_RYE</t>
  </si>
  <si>
    <r>
      <t xml:space="preserve">If model span &gt; 1 then uses </t>
    </r>
    <r>
      <rPr>
        <b/>
        <sz val="11"/>
        <color theme="1"/>
        <rFont val="Calibri"/>
        <family val="2"/>
        <scheme val="minor"/>
      </rPr>
      <t xml:space="preserve">dms_Reset_RYE </t>
    </r>
    <r>
      <rPr>
        <sz val="11"/>
        <color theme="1"/>
        <rFont val="Calibri"/>
        <family val="2"/>
        <scheme val="minor"/>
      </rPr>
      <t>otherwise it's a multi year ABC and uses</t>
    </r>
    <r>
      <rPr>
        <b/>
        <sz val="11"/>
        <color theme="1"/>
        <rFont val="Calibri"/>
        <family val="2"/>
        <scheme val="minor"/>
      </rPr>
      <t xml:space="preserve"> dms_Specified_RYE</t>
    </r>
  </si>
  <si>
    <t>dms_Specified_RYE</t>
  </si>
  <si>
    <r>
      <t xml:space="preserve">If multi year ABC - uses </t>
    </r>
    <r>
      <rPr>
        <b/>
        <sz val="11"/>
        <color theme="1"/>
        <rFont val="Calibri"/>
        <family val="2"/>
        <scheme val="minor"/>
      </rPr>
      <t>dms_Specified_FinalYear</t>
    </r>
  </si>
  <si>
    <t>dms_Model_Span</t>
  </si>
  <si>
    <t>A result of 5 is used to signify that it is more than 1 year span</t>
  </si>
  <si>
    <t>dms_RYE_result</t>
  </si>
  <si>
    <r>
      <t xml:space="preserve">Nested IF - feeds into </t>
    </r>
    <r>
      <rPr>
        <b/>
        <sz val="11"/>
        <color theme="1"/>
        <rFont val="Calibri"/>
        <family val="2"/>
        <scheme val="minor"/>
      </rPr>
      <t>dms_RYE</t>
    </r>
  </si>
  <si>
    <t>dms_Reset_Span</t>
  </si>
  <si>
    <t>Reset span of years as text</t>
  </si>
  <si>
    <t>dms_SpecifiedYear_Span</t>
  </si>
  <si>
    <t>Multi year ABC span of years as text</t>
  </si>
  <si>
    <t>dms_Header_Span</t>
  </si>
  <si>
    <r>
      <t xml:space="preserve">NESTED IF - for </t>
    </r>
    <r>
      <rPr>
        <b/>
        <sz val="11"/>
        <color theme="1"/>
        <rFont val="Calibri"/>
        <family val="2"/>
        <scheme val="minor"/>
      </rPr>
      <t>Sheet Headers</t>
    </r>
  </si>
  <si>
    <t>This is a multi year ABC RIN?</t>
  </si>
  <si>
    <t>WHAT IS THE RYE?</t>
  </si>
  <si>
    <t>Reg Period Lengths</t>
  </si>
  <si>
    <t>PRCP length in years</t>
  </si>
  <si>
    <t>dms_PRCPlength_Num</t>
  </si>
  <si>
    <t>=INDEX(dms_PRCPlength_List,MATCH(dms_TradingName,dms_TradingName_List))</t>
  </si>
  <si>
    <t>Single year RIN?</t>
  </si>
  <si>
    <t>Single Year ABC RIN ?</t>
  </si>
  <si>
    <t>Is this a single Year ABC RIN?</t>
  </si>
  <si>
    <t>Multi year RIN?</t>
  </si>
  <si>
    <t>Multi Year Reset/Model?</t>
  </si>
  <si>
    <t>Final year result for Reset/Model</t>
  </si>
  <si>
    <t>Multi Year ABC RIN?</t>
  </si>
  <si>
    <t>dms_MultiYear_ABC_RIN</t>
  </si>
  <si>
    <t>Final year result for ABC multi year</t>
  </si>
  <si>
    <t>=IF(dms_Segment="Transmission",dms_Cal_Year_B4_CRY,CRY)</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</si>
  <si>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</si>
  <si>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</si>
  <si>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</si>
  <si>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</si>
  <si>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</si>
  <si>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</si>
  <si>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</si>
  <si>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</si>
  <si>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</si>
  <si>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</si>
  <si>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</si>
  <si>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</si>
  <si>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</si>
  <si>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</si>
  <si>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</si>
  <si>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</si>
  <si>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</si>
  <si>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</si>
  <si>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</si>
  <si>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</si>
  <si>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</si>
  <si>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</si>
  <si>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</si>
  <si>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</si>
  <si>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Yes</t>
  </si>
  <si>
    <t>dms_S140101_UOM</t>
  </si>
  <si>
    <t>XX</t>
  </si>
  <si>
    <t>F10.1 - CAPITAL BASE VALUES</t>
  </si>
  <si>
    <t>F10. ASSETS</t>
  </si>
  <si>
    <t>FOR TOTAL ASSET BASE</t>
  </si>
  <si>
    <t>Opening value</t>
  </si>
  <si>
    <t>Inflation addition</t>
  </si>
  <si>
    <t>Straight line depreciation</t>
  </si>
  <si>
    <t>Actual additions (recognised in RAB)</t>
  </si>
  <si>
    <t xml:space="preserve">Disposals </t>
  </si>
  <si>
    <t>Closing value</t>
  </si>
  <si>
    <t>VALUES</t>
  </si>
  <si>
    <t>Asset class</t>
  </si>
  <si>
    <t>unaccounted for gas</t>
  </si>
  <si>
    <t>GSL payments</t>
  </si>
  <si>
    <r>
      <t xml:space="preserve">CA &amp; RESET RINS 
</t>
    </r>
    <r>
      <rPr>
        <sz val="26"/>
        <color rgb="FFFF0000"/>
        <rFont val="Calibri"/>
        <family val="2"/>
        <scheme val="minor"/>
      </rPr>
      <t>TNSP ONLY</t>
    </r>
  </si>
  <si>
    <t>REGULATORY PERIODS</t>
  </si>
  <si>
    <t>GJ</t>
  </si>
  <si>
    <t>F6.5 - PER CENTAGE OF OPEX OUTSOURCED TO RELATED PARTY</t>
  </si>
  <si>
    <r>
      <rPr>
        <b/>
        <sz val="11"/>
        <color theme="1"/>
        <rFont val="Calibri"/>
        <family val="2"/>
        <scheme val="minor"/>
      </rPr>
      <t>Total</t>
    </r>
    <r>
      <rPr>
        <b/>
        <sz val="9"/>
        <color theme="1" tint="0.499984740745262"/>
        <rFont val="Calibri"/>
        <family val="2"/>
        <scheme val="minor"/>
      </rPr>
      <t xml:space="preserve"> </t>
    </r>
  </si>
  <si>
    <t>F3.6 - REWARDS AND PENALTIES FROM INCENTIVE SCHEMES</t>
  </si>
  <si>
    <t>Scheme</t>
  </si>
  <si>
    <t>VALUE</t>
  </si>
  <si>
    <t>F10. Assets</t>
  </si>
  <si>
    <t>F2.4.2-  ACTUAL - AS INCURRED</t>
  </si>
  <si>
    <r>
      <rPr>
        <b/>
        <sz val="11"/>
        <color theme="1"/>
        <rFont val="Calibri"/>
        <family val="2"/>
        <scheme val="minor"/>
      </rPr>
      <t>Total</t>
    </r>
    <r>
      <rPr>
        <sz val="11"/>
        <color theme="1"/>
        <rFont val="Calibri"/>
        <family val="2"/>
        <scheme val="minor"/>
      </rPr>
      <t xml:space="preserve">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</si>
  <si>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r>
      <rPr>
        <sz val="10"/>
        <rFont val="Arial"/>
        <family val="2"/>
      </rPr>
      <t>Capital contributions</t>
    </r>
    <r>
      <rPr>
        <i/>
        <sz val="10"/>
        <rFont val="Arial"/>
        <family val="2"/>
      </rPr>
      <t xml:space="preserve"> included in the above</t>
    </r>
  </si>
  <si>
    <t>F2.7 - IMMEDIATE EXPENSING CAPEX</t>
  </si>
  <si>
    <t>LENGTH</t>
  </si>
  <si>
    <t>N1. Demand</t>
  </si>
  <si>
    <t>E1.4.2 - NON-REFERENCE SERVICES</t>
  </si>
  <si>
    <t>F2.4.3 - MOVEMENT IN PROVISIONS ALLOCATED TO AS-INCURRED CAPEX</t>
  </si>
  <si>
    <t>F2.5.1 - ACTUAL - AS INCURRED</t>
  </si>
  <si>
    <t>F2.7.1 - ACTUAL - AS INCURRED</t>
  </si>
  <si>
    <t>E21.2 - EXPENDITURE</t>
  </si>
  <si>
    <t>Jurisdictional charges</t>
  </si>
  <si>
    <t>repairs and maintenance</t>
  </si>
  <si>
    <t>other opex</t>
  </si>
  <si>
    <t>jurisdictional charges</t>
  </si>
  <si>
    <t xml:space="preserve">debt raising </t>
  </si>
  <si>
    <t>equity raising</t>
  </si>
  <si>
    <t>debt raising</t>
  </si>
  <si>
    <t>Non-labour expenditure</t>
  </si>
  <si>
    <t>ADMIN</t>
  </si>
  <si>
    <t>Additional disclosures</t>
  </si>
  <si>
    <t>marketing and retail incentives</t>
  </si>
  <si>
    <t>YES</t>
  </si>
  <si>
    <t>Operating expenditure</t>
  </si>
  <si>
    <t>T17</t>
  </si>
  <si>
    <t>T18</t>
  </si>
  <si>
    <t>T19</t>
  </si>
  <si>
    <t>T20</t>
  </si>
  <si>
    <t>T21</t>
  </si>
  <si>
    <t>T22</t>
  </si>
  <si>
    <t>T23</t>
  </si>
  <si>
    <t>T24</t>
  </si>
  <si>
    <t>T25</t>
  </si>
  <si>
    <t>T26</t>
  </si>
  <si>
    <t>T27</t>
  </si>
  <si>
    <t>T28</t>
  </si>
  <si>
    <t>T29</t>
  </si>
  <si>
    <t>T30</t>
  </si>
  <si>
    <t>T31</t>
  </si>
  <si>
    <t>T32</t>
  </si>
  <si>
    <t>T33</t>
  </si>
  <si>
    <t>T34</t>
  </si>
  <si>
    <t>T35</t>
  </si>
  <si>
    <t>T36</t>
  </si>
  <si>
    <t>T37</t>
  </si>
  <si>
    <t>T38</t>
  </si>
  <si>
    <t>T39</t>
  </si>
  <si>
    <t>T40</t>
  </si>
  <si>
    <t>T41</t>
  </si>
  <si>
    <t>T42</t>
  </si>
  <si>
    <t>T43</t>
  </si>
  <si>
    <t>T44</t>
  </si>
  <si>
    <t>T45</t>
  </si>
  <si>
    <t>T46</t>
  </si>
  <si>
    <t>T47</t>
  </si>
  <si>
    <t>T48</t>
  </si>
  <si>
    <t>T49</t>
  </si>
  <si>
    <t>T50</t>
  </si>
  <si>
    <t>T51</t>
  </si>
  <si>
    <t>T52</t>
  </si>
  <si>
    <t>T53</t>
  </si>
  <si>
    <t>T54</t>
  </si>
  <si>
    <t>T55</t>
  </si>
  <si>
    <t>T56</t>
  </si>
  <si>
    <t>T57</t>
  </si>
  <si>
    <t>T58</t>
  </si>
  <si>
    <t>T59</t>
  </si>
  <si>
    <t>T60</t>
  </si>
  <si>
    <t>T61</t>
  </si>
  <si>
    <t>T62</t>
  </si>
  <si>
    <t>T63</t>
  </si>
  <si>
    <t>T64</t>
  </si>
  <si>
    <t>T65</t>
  </si>
  <si>
    <t>T66</t>
  </si>
  <si>
    <t>T67</t>
  </si>
  <si>
    <t>T68</t>
  </si>
  <si>
    <t>T69</t>
  </si>
  <si>
    <t>T70</t>
  </si>
  <si>
    <t>T71</t>
  </si>
  <si>
    <t>T72</t>
  </si>
  <si>
    <t>T73</t>
  </si>
  <si>
    <t>T74</t>
  </si>
  <si>
    <t>T75</t>
  </si>
  <si>
    <t>Reconciliation with E1.2 Opex</t>
  </si>
  <si>
    <t>Reconciliation with E1.1 - Capex</t>
  </si>
  <si>
    <t>TEMPLATE DATE</t>
  </si>
  <si>
    <t>December</t>
  </si>
  <si>
    <t>August 2020</t>
  </si>
  <si>
    <t>Customer numbers as at 1 January</t>
  </si>
  <si>
    <t xml:space="preserve">S1.2.1 - CUSTOMER NUMBERS AS AT 1 JANUARY </t>
  </si>
  <si>
    <t>S1.2.2 - CUSTOMER NUMBERS AS AT 31 DECEMBER</t>
  </si>
  <si>
    <t>Customer numbers as at 31 December</t>
  </si>
  <si>
    <t>ARS - Reconnections</t>
  </si>
  <si>
    <t>ARS - Disconnections</t>
  </si>
  <si>
    <t>ARS - Meter and Gas Installation test</t>
  </si>
  <si>
    <t>ARS - Special Meter Reads</t>
  </si>
  <si>
    <t>ARS - Other Non-Reference Services</t>
  </si>
  <si>
    <t>Employee Entitlements</t>
  </si>
  <si>
    <t>Provisions for employee entitlements are liabilities for wages and salaries, including non-monetary benefits and annual leave are recognised in respect of employees’ services up to the reporting date and are measured at the amounts expected to be paid when the liabilities are settled.</t>
  </si>
  <si>
    <t>Provision for doubtful debt is an allowance that has been made for estimated unrecoverable amounts, determined by reference to past default experience of individual debtors.</t>
  </si>
  <si>
    <t xml:space="preserve">Uninsured Losses Provision </t>
  </si>
  <si>
    <t>Provision for uninsured losses is for direct or indirect claims made against AusNet Services for personal, injury, property damage or financial loss, including public liability claims.</t>
  </si>
  <si>
    <t>Environmental Provision</t>
  </si>
  <si>
    <t xml:space="preserve">This provision is used for environmental matters such land remediation costs. The liability is determined based on the present value of the obligation as appropriate. </t>
  </si>
  <si>
    <t>Superannuation Provision</t>
  </si>
  <si>
    <t>The provision represents  the superannuation liability of the defined benefit superannuation fund.</t>
  </si>
  <si>
    <t>Miscellaneous Provision</t>
  </si>
  <si>
    <t>Reconnections</t>
  </si>
  <si>
    <t>Disconnections</t>
  </si>
  <si>
    <t>Meter and Gas Installation test</t>
  </si>
  <si>
    <t>Special Meter Reads</t>
  </si>
  <si>
    <t>Transmission Pipelines</t>
  </si>
  <si>
    <t>Distribution Pipelines</t>
  </si>
  <si>
    <t>Service Pipes</t>
  </si>
  <si>
    <t>Cathodic Protection</t>
  </si>
  <si>
    <t>Supply Regulators / Valve Stations</t>
  </si>
  <si>
    <t>SCADA and remote control</t>
  </si>
  <si>
    <t>Other - IT</t>
  </si>
  <si>
    <t>Other - non IT</t>
  </si>
  <si>
    <t>SPI MANAGEMENT SERVICES  PTY LTD</t>
  </si>
  <si>
    <t>ENTERPRISE BUSINESS SERVICES (AUSTRALIA) PTY LTD</t>
  </si>
  <si>
    <t>CLM INFRASTRUCTURE PTY LTD</t>
  </si>
  <si>
    <t>n/a</t>
  </si>
  <si>
    <t>ZNX (2) PTY LTD</t>
  </si>
  <si>
    <t>ZINFRA PTY LTD</t>
  </si>
  <si>
    <t>Management Service costs represent the recovery of costs for services provided by key senior management, in accordance with the Management Services Agreement</t>
  </si>
  <si>
    <t>Allocated to Network Operations, Customer Connections, Meter Reading Services, Billing and Revenue Collection, Advertising and Marketing, Regulatory Costs and Other Operating costs, proportionate to O&amp;M costs.</t>
  </si>
  <si>
    <t>Management Services</t>
  </si>
  <si>
    <t>IT Services for Operational and Capital Projects</t>
  </si>
  <si>
    <t>Capital Projects</t>
  </si>
  <si>
    <t>Amounts invoiced and charged for the period.</t>
  </si>
  <si>
    <t>Amounts included in Capex Expenditure 2.</t>
  </si>
  <si>
    <t>Allocated to Network Operations, Meter Reading Services, Billing and Revenue Collection, and Other Operating costs.</t>
  </si>
  <si>
    <t>Operating Costs are allocated on an activity basis. Additions are directly attributed to IT Capital Projects.</t>
  </si>
  <si>
    <t>Directly attributed to Capital Projects.</t>
  </si>
  <si>
    <t>License/Regulatory Fees</t>
  </si>
  <si>
    <t>Non-approved asset class - Non- Network Leasehold Land &amp; Buildings - CY19</t>
  </si>
  <si>
    <t>DTS Network</t>
  </si>
  <si>
    <t>Non-DTS Network</t>
  </si>
  <si>
    <t>Non-Reference Services</t>
  </si>
  <si>
    <t>Efficiency carryover</t>
  </si>
  <si>
    <t>JEMENA ASSET MANAGEMENT PTY LTD</t>
  </si>
  <si>
    <t>Provision for Doubtful Debts</t>
  </si>
  <si>
    <t>Buildings</t>
  </si>
  <si>
    <t>Provision represents sundry matters including the work out provision and carbon tax pass through</t>
  </si>
  <si>
    <t>30/11/20</t>
  </si>
  <si>
    <t>Indirect Ownership</t>
  </si>
  <si>
    <t>100%</t>
  </si>
  <si>
    <t>Operational and Capital Projects</t>
  </si>
  <si>
    <t>Amounts included in the cost category Property, Plant and Equipment.</t>
  </si>
  <si>
    <t>Mapping of project types to regulated opex and capex categories.</t>
  </si>
  <si>
    <t>Gas mains replacement cost pass through</t>
  </si>
  <si>
    <t>Land</t>
  </si>
  <si>
    <t>2011 to 2019</t>
  </si>
  <si>
    <t>Forecast ($0's, real December 2011)</t>
  </si>
  <si>
    <t>Tariff V Central Domestic</t>
  </si>
  <si>
    <t>Tariff V Central Non-Domestic</t>
  </si>
  <si>
    <t>Tariff V Adjoining Central Domestic</t>
  </si>
  <si>
    <t>Tariff V Adjoining Central Non-Domestic</t>
  </si>
  <si>
    <t>Tariff V West Domestic</t>
  </si>
  <si>
    <t>Tariff V West Non-Domestic</t>
  </si>
  <si>
    <t>Tariff V Adjoining West Domestic</t>
  </si>
  <si>
    <t>Tariff V Adjoining West Non-Domestic</t>
  </si>
  <si>
    <t>Tariff D Central</t>
  </si>
  <si>
    <t>Tariff D Adjoining Central</t>
  </si>
  <si>
    <t>Tariff D West</t>
  </si>
  <si>
    <t>Tariff D Adjoining West</t>
  </si>
  <si>
    <t>Tariff M Central</t>
  </si>
  <si>
    <t>Tariff M Adjoining Central</t>
  </si>
  <si>
    <t>Tariff M West</t>
  </si>
  <si>
    <t>Tariff M Adjoining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</si>
</sst>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_);_(* \(#,##0.00\);_(* &quot;-&quot;??_);_(@_)"/>
    <numFmt numFmtId="165" formatCode="##\ ###\ ###\ ###\ ##0"/>
    <numFmt numFmtId="166" formatCode="0###"/>
    <numFmt numFmtId="167" formatCode="_-* #,##0_-;[Red]\(#,##0\)_-;_-* &quot;-&quot;??_-;_-@_-"/>
    <numFmt numFmtId="168" formatCode="#,##0.00000"/>
    <numFmt numFmtId="169" formatCode="#,##0.0000"/>
    <numFmt numFmtId="170" formatCode="_-* #,##0_-;\-* #,##0_-;_-* &quot;-&quot;??_-;_-@_-"/>
    <numFmt numFmtId="171" formatCode="0.0000"/>
    <numFmt numFmtId="172" formatCode="#,##0_ ;[Red]\-#,##0\ "/>
    <numFmt numFmtId="173" formatCode="0000"/>
    <numFmt numFmtId="174" formatCode="0#\ ####\ ####"/>
    <numFmt numFmtId="175" formatCode="_(* #,##0_);_(* \(#,##0\);_(* &quot;-&quot;_);_(@_)"/>
    <numFmt numFmtId="176" formatCode="_(* #,##0_);_(* \(#,##0\);_(* &quot;-&quot;?_);_(@_)"/>
  </numFmts>
  <fonts count="15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2"/>
      <color theme="1"/>
      <name val="Calibri"/>
      <family val="2"/>
      <scheme val="minor"/>
    </font>
    <font>
      <b/>
      <sz val="11"/>
      <name val="Calibri"/>
      <family val="2"/>
      <scheme val="minor"/>
    </font>
    <font>
      <b/>
      <sz val="11"/>
      <color theme="1"/>
      <name val="Arial"/>
      <family val="2"/>
    </font>
    <font>
      <sz val="10"/>
      <color theme="1"/>
      <name val="Arial"/>
      <family val="2"/>
    </font>
    <font>
      <sz val="10"/>
      <color theme="7" tint="-0.249977111117893"/>
      <name val="Arial"/>
      <family val="2"/>
    </font>
    <font>
      <sz val="11"/>
      <color theme="4" tint="-0.249977111117893"/>
      <name val="Calibri"/>
      <family val="2"/>
      <scheme val="minor"/>
    </font>
    <font>
      <sz val="11"/>
      <color theme="8" tint="-0.249977111117893"/>
      <name val="Arial"/>
      <family val="2"/>
    </font>
    <font>
      <sz val="10"/>
      <color rgb="FFFF0000"/>
      <name val="Arial"/>
      <family val="2"/>
    </font>
    <font>
      <b/>
      <sz val="11"/>
      <color rgb="FFFF0000"/>
      <name val="Arial"/>
      <family val="2"/>
    </font>
    <font>
      <sz val="11"/>
      <color theme="1"/>
      <name val="Calibri"/>
      <family val="2"/>
    </font>
    <font>
      <sz val="9"/>
      <name val="Arial"/>
      <family val="2"/>
    </font>
    <font>
      <sz val="10"/>
      <color rgb="FF000000"/>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1"/>
      <color rgb="FF000000"/>
      <name val="Arial"/>
      <family val="2"/>
    </font>
    <font>
      <sz val="11"/>
      <color rgb="FF000000"/>
      <name val="Arial"/>
      <family val="2"/>
    </font>
    <font>
      <sz val="10"/>
      <color rgb="FF808080"/>
      <name val="Arial"/>
      <family val="2"/>
    </font>
    <font>
      <b/>
      <sz val="10"/>
      <color rgb="FFFF0000"/>
      <name val="Arial"/>
      <family val="2"/>
    </font>
    <font>
      <sz val="10"/>
      <color theme="4"/>
      <name val="Arial"/>
      <family val="2"/>
    </font>
    <font>
      <sz val="10"/>
      <color theme="0" tint="-0.499984740745262"/>
      <name val="Arial"/>
      <family val="2"/>
    </font>
    <font>
      <b/>
      <i/>
      <sz val="10"/>
      <name val="Arial"/>
      <family val="2"/>
    </font>
    <font>
      <b/>
      <i/>
      <sz val="11"/>
      <color theme="1"/>
      <name val="Calibri"/>
      <family val="2"/>
      <scheme val="minor"/>
    </font>
    <font>
      <b/>
      <sz val="16"/>
      <name val="Arial"/>
      <family val="2"/>
    </font>
    <font>
      <sz val="10"/>
      <color indexed="9"/>
      <name val="Arial"/>
      <family val="2"/>
    </font>
    <font>
      <sz val="10"/>
      <color theme="4" tint="-0.499984740745262"/>
      <name val="Arial"/>
      <family val="2"/>
    </font>
    <font>
      <b/>
      <sz val="10"/>
      <color theme="1" tint="0.14999847407452621"/>
      <name val="Arial"/>
      <family val="2"/>
    </font>
    <font>
      <sz val="10"/>
      <color theme="4" tint="0.59999389629810485"/>
      <name val="Arial"/>
      <family val="2"/>
    </font>
    <font>
      <sz val="11"/>
      <color rgb="FFFF0000"/>
      <name val="Arial"/>
      <family val="2"/>
    </font>
    <font>
      <sz val="11"/>
      <color theme="5" tint="-0.249977111117893"/>
      <name val="Arial"/>
      <family val="2"/>
    </font>
    <font>
      <b/>
      <sz val="10"/>
      <color theme="1"/>
      <name val="Arial"/>
      <family val="2"/>
    </font>
    <font>
      <sz val="14"/>
      <color theme="1"/>
      <name val="Arial"/>
      <family val="2"/>
    </font>
    <font>
      <i/>
      <sz val="10"/>
      <color theme="4" tint="-0.249977111117893"/>
      <name val="Arial"/>
      <family val="2"/>
    </font>
    <font>
      <sz val="10"/>
      <color theme="4" tint="-0.249977111117893"/>
      <name val="Arial"/>
      <family val="2"/>
    </font>
    <font>
      <i/>
      <sz val="10"/>
      <color theme="0" tint="-0.499984740745262"/>
      <name val="Arial"/>
      <family val="2"/>
    </font>
    <font>
      <i/>
      <u/>
      <sz val="10"/>
      <color theme="0" tint="-0.499984740745262"/>
      <name val="Arial"/>
      <family val="2"/>
    </font>
    <font>
      <i/>
      <sz val="10"/>
      <color theme="4" tint="-0.499984740745262"/>
      <name val="Arial"/>
      <family val="2"/>
    </font>
    <font>
      <i/>
      <sz val="11"/>
      <color theme="1"/>
      <name val="Arial"/>
      <family val="2"/>
    </font>
    <font>
      <b/>
      <sz val="10"/>
      <color theme="0" tint="-0.499984740745262"/>
      <name val="Arial"/>
      <family val="2"/>
    </font>
    <font>
      <sz val="16"/>
      <color rgb="FFFF0000"/>
      <name val="Arial"/>
      <family val="2"/>
    </font>
    <font>
      <sz val="14"/>
      <color rgb="FFFF0000"/>
      <name val="Arial"/>
      <family val="2"/>
    </font>
    <font>
      <sz val="10"/>
      <color theme="5" tint="-0.249977111117893"/>
      <name val="Arial"/>
      <family val="2"/>
    </font>
    <font>
      <b/>
      <sz val="10"/>
      <color rgb="FF808080"/>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i/>
      <sz val="11"/>
      <color theme="1"/>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36"/>
      <color theme="0"/>
      <name val="Calibri"/>
      <family val="2"/>
      <scheme val="minor"/>
    </font>
    <font>
      <sz val="11"/>
      <color theme="1" tint="0.34998626667073579"/>
      <name val="Calibri"/>
      <family val="2"/>
      <scheme val="minor"/>
    </font>
    <font>
      <b/>
      <sz val="11"/>
      <color theme="3" tint="0.39994506668294322"/>
      <name val="Calibri"/>
      <family val="2"/>
      <scheme val="minor"/>
    </font>
    <font>
      <sz val="22"/>
      <color theme="0"/>
      <name val="Calibri"/>
      <family val="2"/>
      <scheme val="minor"/>
    </font>
    <font>
      <sz val="26"/>
      <color theme="0"/>
      <name val="Calibri"/>
      <family val="2"/>
      <scheme val="minor"/>
    </font>
    <font>
      <sz val="22"/>
      <color theme="1"/>
      <name val="Calibri"/>
      <family val="2"/>
      <scheme val="minor"/>
    </font>
    <font>
      <sz val="26"/>
      <name val="Calibri"/>
      <family val="2"/>
      <scheme val="minor"/>
    </font>
    <font>
      <sz val="24"/>
      <color theme="0"/>
      <name val="Calibri"/>
      <family val="2"/>
      <scheme val="minor"/>
    </font>
    <font>
      <sz val="26"/>
      <color rgb="FFFF0000"/>
      <name val="Calibri"/>
      <family val="2"/>
      <scheme val="minor"/>
    </font>
    <font>
      <b/>
      <sz val="11"/>
      <color theme="3" tint="0.39997558519241921"/>
      <name val="Calibri"/>
      <family val="2"/>
      <scheme val="minor"/>
    </font>
    <font>
      <b/>
      <sz val="11"/>
      <color theme="4"/>
      <name val="Arial"/>
      <family val="2"/>
    </font>
    <font>
      <b/>
      <i/>
      <sz val="12"/>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i/>
      <sz val="11"/>
      <color theme="1" tint="0.499984740745262"/>
      <name val="Calibri"/>
      <family val="2"/>
      <scheme val="minor"/>
    </font>
    <font>
      <sz val="11"/>
      <color theme="1" tint="0.499984740745262"/>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Verdana"/>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sz val="11"/>
      <color indexed="10"/>
      <name val="Calibri"/>
      <family val="2"/>
    </font>
  </fonts>
  <fills count="11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7" tint="0.59999389629810485"/>
        <bgColor indexed="64"/>
      </patternFill>
    </fill>
    <fill>
      <patternFill patternType="solid">
        <fgColor theme="2" tint="-0.49998474074526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6" tint="0.39997558519241921"/>
        <bgColor theme="4" tint="0.79998168889431442"/>
      </patternFill>
    </fill>
    <fill>
      <patternFill patternType="solid">
        <fgColor rgb="FFCCCCFF"/>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rgb="FFFFFFFF"/>
        <bgColor rgb="FF000000"/>
      </patternFill>
    </fill>
    <fill>
      <patternFill patternType="solid">
        <fgColor rgb="FFB8CCE4"/>
        <bgColor rgb="FF000000"/>
      </patternFill>
    </fill>
    <fill>
      <patternFill patternType="solid">
        <fgColor theme="9" tint="0.39997558519241921"/>
        <bgColor rgb="FF000000"/>
      </patternFill>
    </fill>
    <fill>
      <patternFill patternType="solid">
        <fgColor rgb="FFFABF8F"/>
        <bgColor rgb="FF000000"/>
      </patternFill>
    </fill>
    <fill>
      <patternFill patternType="solid">
        <fgColor theme="0" tint="-0.14999847407452621"/>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theme="3"/>
        <bgColor indexed="64"/>
      </patternFill>
    </fill>
    <fill>
      <patternFill patternType="solid">
        <fgColor rgb="FFFFCCCC"/>
        <bgColor indexed="64"/>
      </patternFill>
    </fill>
    <fill>
      <patternFill patternType="gray125">
        <fgColor theme="3" tint="0.39991454817346722"/>
        <bgColor rgb="FFFFFFCC"/>
      </patternFill>
    </fill>
    <fill>
      <patternFill patternType="solid">
        <fgColor rgb="FFEEECE1"/>
        <bgColor rgb="FF000000"/>
      </patternFill>
    </fill>
    <fill>
      <patternFill patternType="solid">
        <fgColor theme="5" tint="-0.249977111117893"/>
        <bgColor indexed="64"/>
      </patternFill>
    </fill>
    <fill>
      <patternFill patternType="solid">
        <fgColor theme="6"/>
        <bgColor indexed="64"/>
      </patternFill>
    </fill>
    <fill>
      <patternFill patternType="solid">
        <fgColor theme="4"/>
        <bgColor indexed="64"/>
      </patternFill>
    </fill>
    <fill>
      <patternFill patternType="solid">
        <fgColor rgb="FFFF0000"/>
        <bgColor indexed="64"/>
      </patternFill>
    </fill>
    <fill>
      <patternFill patternType="solid">
        <fgColor theme="7"/>
        <bgColor indexed="64"/>
      </patternFill>
    </fill>
    <fill>
      <patternFill patternType="solid">
        <fgColor theme="7" tint="0.79998168889431442"/>
        <bgColor indexed="64"/>
      </patternFill>
    </fill>
    <fill>
      <patternFill patternType="solid">
        <fgColor theme="9"/>
        <bgColor indexed="64"/>
      </patternFill>
    </fill>
    <fill>
      <patternFill patternType="solid">
        <fgColor theme="2" tint="-0.749992370372631"/>
        <bgColor indexed="64"/>
      </patternFill>
    </fill>
    <fill>
      <patternFill patternType="solid">
        <fgColor theme="0" tint="-0.14999847407452621"/>
        <bgColor theme="0" tint="-0.14999847407452621"/>
      </patternFill>
    </fill>
    <fill>
      <patternFill patternType="solid">
        <fgColor theme="0" tint="-0.249977111117893"/>
        <bgColor rgb="FF000000"/>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rgb="FFFFCCCC"/>
        <bgColor rgb="FF000000"/>
      </patternFill>
    </fill>
  </fills>
  <borders count="3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4659260841701"/>
      </left>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medium">
        <color indexed="64"/>
      </top>
      <bottom/>
      <diagonal/>
    </border>
    <border>
      <left style="medium">
        <color indexed="64"/>
      </left>
      <right/>
      <top style="thin">
        <color theme="0" tint="-0.24994659260841701"/>
      </top>
      <bottom/>
      <diagonal/>
    </border>
    <border>
      <left style="thin">
        <color theme="0" tint="-0.24994659260841701"/>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right/>
      <top style="thin">
        <color theme="0" tint="-0.24994659260841701"/>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thin">
        <color theme="0" tint="-0.34998626667073579"/>
      </left>
      <right/>
      <top style="medium">
        <color indexed="64"/>
      </top>
      <bottom/>
      <diagonal/>
    </border>
    <border>
      <left style="medium">
        <color indexed="64"/>
      </left>
      <right/>
      <top style="thin">
        <color theme="0" tint="-0.34998626667073579"/>
      </top>
      <bottom/>
      <diagonal/>
    </border>
    <border>
      <left style="thin">
        <color theme="0" tint="-0.34998626667073579"/>
      </left>
      <right/>
      <top style="thin">
        <color theme="0" tint="-0.34998626667073579"/>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rgb="FFBFBFBF"/>
      </right>
      <top style="medium">
        <color indexed="64"/>
      </top>
      <bottom style="medium">
        <color auto="1"/>
      </bottom>
      <diagonal/>
    </border>
    <border>
      <left style="thin">
        <color rgb="FFBFBFBF"/>
      </left>
      <right style="thin">
        <color rgb="FFBFBFBF"/>
      </right>
      <top style="medium">
        <color indexed="64"/>
      </top>
      <bottom style="medium">
        <color auto="1"/>
      </bottom>
      <diagonal/>
    </border>
    <border>
      <left style="medium">
        <color auto="1"/>
      </left>
      <right style="medium">
        <color indexed="64"/>
      </right>
      <top style="medium">
        <color auto="1"/>
      </top>
      <bottom style="thin">
        <color theme="0" tint="-0.24994659260841701"/>
      </bottom>
      <diagonal/>
    </border>
    <border>
      <left style="medium">
        <color indexed="64"/>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rgb="FFFF0000"/>
      </right>
      <top/>
      <bottom style="thin">
        <color theme="0" tint="-0.24994659260841701"/>
      </bottom>
      <diagonal/>
    </border>
    <border>
      <left style="medium">
        <color rgb="FFFF0000"/>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medium">
        <color rgb="FFFF0000"/>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rgb="FFFF0000"/>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auto="1"/>
      </left>
      <right style="thin">
        <color auto="1"/>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thin">
        <color rgb="FFBFBFBF"/>
      </left>
      <right style="thin">
        <color rgb="FFBFBFBF"/>
      </right>
      <top style="thin">
        <color rgb="FFBFBFBF"/>
      </top>
      <bottom style="medium">
        <color indexed="64"/>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theme="0" tint="-0.24994659260841701"/>
      </right>
      <top style="medium">
        <color indexed="64"/>
      </top>
      <bottom/>
      <diagonal/>
    </border>
    <border>
      <left style="medium">
        <color indexed="64"/>
      </left>
      <right style="thin">
        <color indexed="64"/>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thin">
        <color theme="0" tint="-0.24994659260841701"/>
      </left>
      <right style="thin">
        <color indexed="64"/>
      </right>
      <top style="thin">
        <color theme="0" tint="-0.24994659260841701"/>
      </top>
      <bottom style="thin">
        <color theme="0" tint="-0.24994659260841701"/>
      </bottom>
      <diagonal/>
    </border>
    <border>
      <left/>
      <right style="medium">
        <color indexed="64"/>
      </right>
      <top style="thin">
        <color theme="0" tint="-0.34998626667073579"/>
      </top>
      <bottom style="thin">
        <color theme="0" tint="-0.34998626667073579"/>
      </bottom>
      <diagonal/>
    </border>
    <border>
      <left style="medium">
        <color indexed="64"/>
      </left>
      <right/>
      <top style="medium">
        <color indexed="64"/>
      </top>
      <bottom style="thin">
        <color indexed="64"/>
      </bottom>
      <diagonal/>
    </border>
    <border>
      <left/>
      <right style="medium">
        <color indexed="64"/>
      </right>
      <top style="thin">
        <color theme="0" tint="-0.34998626667073579"/>
      </top>
      <bottom style="medium">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indexed="64"/>
      </left>
      <right/>
      <top style="thin">
        <color indexed="64"/>
      </top>
      <bottom/>
      <diagonal/>
    </border>
    <border>
      <left style="medium">
        <color auto="1"/>
      </left>
      <right/>
      <top style="medium">
        <color auto="1"/>
      </top>
      <bottom style="thin">
        <color theme="0" tint="-0.24994659260841701"/>
      </bottom>
      <diagonal/>
    </border>
    <border>
      <left/>
      <right style="medium">
        <color indexed="64"/>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auto="1"/>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medium">
        <color indexed="64"/>
      </right>
      <top style="thin">
        <color theme="0" tint="-0.24994659260841701"/>
      </top>
      <bottom/>
      <diagonal/>
    </border>
    <border>
      <left/>
      <right style="medium">
        <color auto="1"/>
      </right>
      <top style="thin">
        <color theme="0" tint="-0.24994659260841701"/>
      </top>
      <bottom style="medium">
        <color auto="1"/>
      </bottom>
      <diagonal/>
    </border>
    <border>
      <left style="medium">
        <color indexed="64"/>
      </left>
      <right/>
      <top style="thin">
        <color indexed="64"/>
      </top>
      <bottom style="thin">
        <color indexed="64"/>
      </bottom>
      <diagonal/>
    </border>
    <border>
      <left style="medium">
        <color indexed="64"/>
      </left>
      <right style="medium">
        <color auto="1"/>
      </right>
      <top/>
      <bottom style="thin">
        <color auto="1"/>
      </bottom>
      <diagonal/>
    </border>
    <border>
      <left style="medium">
        <color auto="1"/>
      </left>
      <right style="medium">
        <color indexed="64"/>
      </right>
      <top style="thin">
        <color auto="1"/>
      </top>
      <bottom style="thin">
        <color auto="1"/>
      </bottom>
      <diagonal/>
    </border>
    <border>
      <left style="medium">
        <color indexed="64"/>
      </left>
      <right style="medium">
        <color indexed="64"/>
      </right>
      <top style="thin">
        <color indexed="64"/>
      </top>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top/>
      <bottom style="thin">
        <color indexed="64"/>
      </bottom>
      <diagonal/>
    </border>
    <border>
      <left/>
      <right style="medium">
        <color indexed="64"/>
      </right>
      <top/>
      <bottom style="thin">
        <color indexed="64"/>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style="thin">
        <color rgb="FFBFBFBF"/>
      </right>
      <top style="medium">
        <color indexed="64"/>
      </top>
      <bottom style="mediumDashed">
        <color indexed="64"/>
      </bottom>
      <diagonal/>
    </border>
    <border>
      <left style="thin">
        <color rgb="FFBFBFBF"/>
      </left>
      <right style="thin">
        <color rgb="FFBFBFBF"/>
      </right>
      <top style="medium">
        <color indexed="64"/>
      </top>
      <bottom style="mediumDashed">
        <color indexed="64"/>
      </bottom>
      <diagonal/>
    </border>
    <border>
      <left style="thin">
        <color rgb="FFBFBFBF"/>
      </left>
      <right style="medium">
        <color indexed="64"/>
      </right>
      <top style="medium">
        <color indexed="64"/>
      </top>
      <bottom style="mediumDashed">
        <color indexed="64"/>
      </bottom>
      <diagonal/>
    </border>
    <border>
      <left style="medium">
        <color indexed="64"/>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medium">
        <color indexed="64"/>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right style="medium">
        <color indexed="64"/>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medium">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style="thin">
        <color indexed="64"/>
      </bottom>
      <diagonal/>
    </border>
    <border>
      <left style="medium">
        <color indexed="64"/>
      </left>
      <right style="thin">
        <color theme="0" tint="-0.24994659260841701"/>
      </right>
      <top/>
      <bottom style="mediumDashed">
        <color theme="0" tint="-0.34998626667073579"/>
      </bottom>
      <diagonal/>
    </border>
    <border>
      <left style="thin">
        <color theme="0" tint="-0.24994659260841701"/>
      </left>
      <right style="thin">
        <color theme="0" tint="-0.24994659260841701"/>
      </right>
      <top/>
      <bottom style="mediumDashed">
        <color theme="0" tint="-0.34998626667073579"/>
      </bottom>
      <diagonal/>
    </border>
    <border>
      <left style="thin">
        <color theme="0" tint="-0.24994659260841701"/>
      </left>
      <right/>
      <top/>
      <bottom style="mediumDashed">
        <color theme="0" tint="-0.34998626667073579"/>
      </bottom>
      <diagonal/>
    </border>
    <border>
      <left/>
      <right/>
      <top/>
      <bottom style="mediumDashed">
        <color theme="0" tint="-0.34998626667073579"/>
      </bottom>
      <diagonal/>
    </border>
    <border>
      <left/>
      <right style="medium">
        <color indexed="64"/>
      </right>
      <top/>
      <bottom style="mediumDashed">
        <color theme="0" tint="-0.34998626667073579"/>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medium">
        <color indexed="64"/>
      </left>
      <right style="thin">
        <color theme="0" tint="-0.24994659260841701"/>
      </right>
      <top/>
      <bottom style="thin">
        <color theme="0" tint="-0.14996795556505021"/>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theme="0" tint="-0.24994659260841701"/>
      </left>
      <right/>
      <top/>
      <bottom style="medium">
        <color indexed="64"/>
      </bottom>
      <diagonal/>
    </border>
    <border>
      <left style="medium">
        <color indexed="64"/>
      </left>
      <right style="thin">
        <color theme="0" tint="-0.24994659260841701"/>
      </right>
      <top style="mediumDashed">
        <color indexed="64"/>
      </top>
      <bottom style="thin">
        <color indexed="64"/>
      </bottom>
      <diagonal/>
    </border>
    <border>
      <left style="thin">
        <color theme="0" tint="-0.24994659260841701"/>
      </left>
      <right style="thin">
        <color theme="0" tint="-0.24994659260841701"/>
      </right>
      <top style="mediumDashed">
        <color indexed="64"/>
      </top>
      <bottom style="thin">
        <color indexed="64"/>
      </bottom>
      <diagonal/>
    </border>
    <border>
      <left style="thin">
        <color theme="0" tint="-0.24994659260841701"/>
      </left>
      <right/>
      <top style="mediumDashed">
        <color indexed="64"/>
      </top>
      <bottom style="thin">
        <color indexed="64"/>
      </bottom>
      <diagonal/>
    </border>
    <border>
      <left/>
      <right/>
      <top style="mediumDashed">
        <color indexed="64"/>
      </top>
      <bottom style="thin">
        <color indexed="64"/>
      </bottom>
      <diagonal/>
    </border>
    <border>
      <left/>
      <right style="medium">
        <color indexed="64"/>
      </right>
      <top style="mediumDashed">
        <color indexed="64"/>
      </top>
      <bottom style="thin">
        <color indexed="64"/>
      </bottom>
      <diagonal/>
    </border>
    <border>
      <left style="medium">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style="thin">
        <color theme="0" tint="-0.24994659260841701"/>
      </top>
      <bottom style="hair">
        <color indexed="64"/>
      </bottom>
      <diagonal/>
    </border>
    <border>
      <left style="thin">
        <color theme="0" tint="-0.24994659260841701"/>
      </left>
      <right style="thin">
        <color theme="0" tint="-0.24994659260841701"/>
      </right>
      <top style="thin">
        <color theme="0" tint="-0.24994659260841701"/>
      </top>
      <bottom style="hair">
        <color indexed="64"/>
      </bottom>
      <diagonal/>
    </border>
    <border>
      <left style="thin">
        <color theme="0" tint="-0.24994659260841701"/>
      </left>
      <right style="medium">
        <color indexed="64"/>
      </right>
      <top style="thin">
        <color theme="0" tint="-0.24994659260841701"/>
      </top>
      <bottom style="hair">
        <color indexed="64"/>
      </bottom>
      <diagonal/>
    </border>
    <border>
      <left style="thin">
        <color theme="0" tint="-0.24994659260841701"/>
      </left>
      <right style="medium">
        <color indexed="64"/>
      </right>
      <top/>
      <bottom style="medium">
        <color indexed="64"/>
      </bottom>
      <diagonal/>
    </border>
    <border>
      <left style="thin">
        <color theme="0" tint="-0.24994659260841701"/>
      </left>
      <right/>
      <top style="medium">
        <color indexed="64"/>
      </top>
      <bottom style="medium">
        <color indexed="64"/>
      </bottom>
      <diagonal/>
    </border>
    <border>
      <left style="thin">
        <color rgb="FFBFBFBF"/>
      </left>
      <right style="medium">
        <color indexed="64"/>
      </right>
      <top style="medium">
        <color indexed="64"/>
      </top>
      <bottom style="medium">
        <color indexed="64"/>
      </bottom>
      <diagonal/>
    </border>
    <border>
      <left style="thin">
        <color rgb="FFBFBFBF"/>
      </left>
      <right style="medium">
        <color indexed="64"/>
      </right>
      <top/>
      <bottom style="thin">
        <color rgb="FFBFBFBF"/>
      </bottom>
      <diagonal/>
    </border>
    <border>
      <left style="thin">
        <color rgb="FFBFBFBF"/>
      </left>
      <right style="medium">
        <color indexed="64"/>
      </right>
      <top style="thin">
        <color rgb="FFBFBFBF"/>
      </top>
      <bottom style="thin">
        <color rgb="FFBFBFBF"/>
      </bottom>
      <diagonal/>
    </border>
    <border>
      <left style="medium">
        <color indexed="64"/>
      </left>
      <right style="thin">
        <color rgb="FFBFBFBF"/>
      </right>
      <top style="thin">
        <color rgb="FFBFBFBF"/>
      </top>
      <bottom/>
      <diagonal/>
    </border>
    <border>
      <left style="thin">
        <color rgb="FFBFBFBF"/>
      </left>
      <right style="thin">
        <color rgb="FFBFBFBF"/>
      </right>
      <top style="thin">
        <color rgb="FFBFBFBF"/>
      </top>
      <bottom/>
      <diagonal/>
    </border>
    <border>
      <left style="thin">
        <color rgb="FFBFBFBF"/>
      </left>
      <right style="medium">
        <color indexed="64"/>
      </right>
      <top style="thin">
        <color rgb="FFBFBFBF"/>
      </top>
      <bottom/>
      <diagonal/>
    </border>
    <border>
      <left style="thin">
        <color rgb="FFBFBFBF"/>
      </left>
      <right style="medium">
        <color indexed="64"/>
      </right>
      <top style="thin">
        <color rgb="FFBFBFBF"/>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auto="1"/>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auto="1"/>
      </bottom>
      <diagonal/>
    </border>
    <border>
      <left/>
      <right/>
      <top style="thin">
        <color theme="0" tint="-0.34998626667073579"/>
      </top>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auto="1"/>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medium">
        <color indexed="64"/>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right style="thin">
        <color indexed="64"/>
      </right>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theme="0" tint="-0.24994659260841701"/>
      </left>
      <right style="thin">
        <color auto="1"/>
      </right>
      <top style="thin">
        <color auto="1"/>
      </top>
      <bottom style="thin">
        <color auto="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auto="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thin">
        <color indexed="64"/>
      </left>
      <right style="thin">
        <color theme="0" tint="-0.34998626667073579"/>
      </right>
      <top style="thin">
        <color theme="0" tint="-0.34998626667073579"/>
      </top>
      <bottom style="medium">
        <color auto="1"/>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thin">
        <color theme="0" tint="-0.24994659260841701"/>
      </left>
      <right style="medium">
        <color indexed="64"/>
      </right>
      <top style="thin">
        <color auto="1"/>
      </top>
      <bottom style="medium">
        <color indexed="64"/>
      </bottom>
      <diagonal/>
    </border>
    <border>
      <left style="medium">
        <color indexed="64"/>
      </left>
      <right style="medium">
        <color indexed="64"/>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34998626667073579"/>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right style="medium">
        <color indexed="64"/>
      </right>
      <top style="thin">
        <color theme="0" tint="-0.24994659260841701"/>
      </top>
      <bottom style="thin">
        <color indexed="64"/>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34998626667073579"/>
      </left>
      <right/>
      <top/>
      <bottom style="thin">
        <color theme="0" tint="-0.34998626667073579"/>
      </bottom>
      <diagonal/>
    </border>
    <border>
      <left style="thin">
        <color theme="0" tint="-0.24994659260841701"/>
      </left>
      <right/>
      <top style="thin">
        <color auto="1"/>
      </top>
      <bottom style="thin">
        <color theme="0" tint="-0.24994659260841701"/>
      </bottom>
      <diagonal/>
    </border>
    <border>
      <left style="thin">
        <color theme="0" tint="-0.34998626667073579"/>
      </left>
      <right/>
      <top style="medium">
        <color indexed="64"/>
      </top>
      <bottom style="thin">
        <color theme="0" tint="-0.34998626667073579"/>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right style="thin">
        <color indexed="64"/>
      </right>
      <top/>
      <bottom style="thin">
        <color theme="0" tint="-0.24994659260841701"/>
      </bottom>
      <diagonal/>
    </border>
    <border>
      <left style="medium">
        <color indexed="64"/>
      </left>
      <right style="thin">
        <color rgb="FFA6A6A6"/>
      </right>
      <top style="thin">
        <color rgb="FFA6A6A6"/>
      </top>
      <bottom style="thin">
        <color indexed="64"/>
      </bottom>
      <diagonal/>
    </border>
    <border>
      <left style="thin">
        <color indexed="64"/>
      </left>
      <right style="thin">
        <color theme="0" tint="-0.24994659260841701"/>
      </right>
      <top style="thin">
        <color theme="0" tint="-0.2499465926084170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tint="-0.24994659260841701"/>
      </left>
      <right style="medium">
        <color indexed="64"/>
      </right>
      <top style="thin">
        <color auto="1"/>
      </top>
      <bottom style="thin">
        <color theme="0" tint="-0.24994659260841701"/>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style="thin">
        <color theme="0" tint="-0.34998626667073579"/>
      </left>
      <right style="thin">
        <color indexed="64"/>
      </right>
      <top/>
      <bottom/>
      <diagonal/>
    </border>
    <border>
      <left style="medium">
        <color indexed="64"/>
      </left>
      <right/>
      <top style="thin">
        <color rgb="FFA6A6A6"/>
      </top>
      <bottom style="thin">
        <color rgb="FFA6A6A6"/>
      </bottom>
      <diagonal/>
    </border>
    <border>
      <left/>
      <right style="medium">
        <color indexed="64"/>
      </right>
      <top style="thin">
        <color indexed="64"/>
      </top>
      <bottom style="thin">
        <color theme="0" tint="-0.24994659260841701"/>
      </bottom>
      <diagonal/>
    </border>
    <border>
      <left style="thin">
        <color theme="0" tint="-0.24994659260841701"/>
      </left>
      <right style="medium">
        <color indexed="64"/>
      </right>
      <top/>
      <bottom style="thin">
        <color indexed="64"/>
      </bottom>
      <diagonal/>
    </border>
    <border>
      <left style="thin">
        <color rgb="FFBFBFBF"/>
      </left>
      <right style="thin">
        <color rgb="FFBFBFBF"/>
      </right>
      <top style="medium">
        <color indexed="64"/>
      </top>
      <bottom/>
      <diagonal/>
    </border>
    <border>
      <left style="dotted">
        <color rgb="FFFF0000"/>
      </left>
      <right style="medium">
        <color indexed="64"/>
      </right>
      <top style="dotted">
        <color rgb="FFFF0000"/>
      </top>
      <bottom/>
      <diagonal/>
    </border>
    <border>
      <left style="medium">
        <color indexed="64"/>
      </left>
      <right style="thin">
        <color indexed="64"/>
      </right>
      <top style="dotted">
        <color rgb="FFFF0000"/>
      </top>
      <bottom style="medium">
        <color indexed="64"/>
      </bottom>
      <diagonal/>
    </border>
    <border>
      <left style="thin">
        <color rgb="FFBFBFBF"/>
      </left>
      <right style="thin">
        <color indexed="64"/>
      </right>
      <top style="dotted">
        <color rgb="FFFF0000"/>
      </top>
      <bottom style="medium">
        <color auto="1"/>
      </bottom>
      <diagonal/>
    </border>
    <border>
      <left style="thin">
        <color rgb="FFBFBFBF"/>
      </left>
      <right style="dotted">
        <color rgb="FFFF0000"/>
      </right>
      <top style="dotted">
        <color rgb="FFFF0000"/>
      </top>
      <bottom style="medium">
        <color indexed="64"/>
      </bottom>
      <diagonal/>
    </border>
    <border>
      <left style="dotted">
        <color rgb="FFFF0000"/>
      </left>
      <right style="medium">
        <color indexed="64"/>
      </right>
      <top/>
      <bottom/>
      <diagonal/>
    </border>
    <border>
      <left style="thin">
        <color theme="0" tint="-0.24994659260841701"/>
      </left>
      <right style="dotted">
        <color rgb="FFFF0000"/>
      </right>
      <top/>
      <bottom style="thin">
        <color theme="0" tint="-0.24994659260841701"/>
      </bottom>
      <diagonal/>
    </border>
    <border>
      <left style="thin">
        <color theme="0" tint="-0.24994659260841701"/>
      </left>
      <right style="dotted">
        <color rgb="FFFF0000"/>
      </right>
      <top style="thin">
        <color theme="0" tint="-0.24994659260841701"/>
      </top>
      <bottom style="thin">
        <color theme="0" tint="-0.24994659260841701"/>
      </bottom>
      <diagonal/>
    </border>
    <border>
      <left style="thin">
        <color theme="0" tint="-0.24994659260841701"/>
      </left>
      <right style="dotted">
        <color rgb="FFFF0000"/>
      </right>
      <top style="thin">
        <color theme="0" tint="-0.24994659260841701"/>
      </top>
      <bottom style="medium">
        <color indexed="64"/>
      </bottom>
      <diagonal/>
    </border>
    <border>
      <left style="dotted">
        <color rgb="FFFF0000"/>
      </left>
      <right/>
      <top/>
      <bottom/>
      <diagonal/>
    </border>
    <border>
      <left/>
      <right style="dotted">
        <color rgb="FFFF0000"/>
      </right>
      <top/>
      <bottom/>
      <diagonal/>
    </border>
    <border>
      <left style="medium">
        <color rgb="FFFF0000"/>
      </left>
      <right style="thin">
        <color theme="0" tint="-0.24994659260841701"/>
      </right>
      <top style="medium">
        <color rgb="FFFF0000"/>
      </top>
      <bottom style="medium">
        <color rgb="FFFF0000"/>
      </bottom>
      <diagonal/>
    </border>
    <border>
      <left style="thin">
        <color theme="0" tint="-0.24994659260841701"/>
      </left>
      <right style="thin">
        <color theme="0" tint="-0.24994659260841701"/>
      </right>
      <top style="medium">
        <color rgb="FFFF0000"/>
      </top>
      <bottom style="medium">
        <color rgb="FFFF0000"/>
      </bottom>
      <diagonal/>
    </border>
    <border>
      <left style="thin">
        <color theme="0" tint="-0.24994659260841701"/>
      </left>
      <right style="medium">
        <color rgb="FFFF0000"/>
      </right>
      <top style="medium">
        <color rgb="FFFF0000"/>
      </top>
      <bottom style="medium">
        <color rgb="FFFF0000"/>
      </bottom>
      <diagonal/>
    </border>
    <border>
      <left style="dotted">
        <color rgb="FFFF0000"/>
      </left>
      <right style="medium">
        <color rgb="FFFF0000"/>
      </right>
      <top/>
      <bottom/>
      <diagonal/>
    </border>
    <border>
      <left style="dotted">
        <color rgb="FFFF0000"/>
      </left>
      <right style="medium">
        <color rgb="FFFF0000"/>
      </right>
      <top/>
      <bottom style="dotted">
        <color rgb="FFFF0000"/>
      </bottom>
      <diagonal/>
    </border>
    <border>
      <left style="medium">
        <color rgb="FFFF0000"/>
      </left>
      <right style="thin">
        <color theme="0" tint="-0.24994659260841701"/>
      </right>
      <top style="thin">
        <color theme="0" tint="-0.24994659260841701"/>
      </top>
      <bottom style="dotted">
        <color rgb="FFFF0000"/>
      </bottom>
      <diagonal/>
    </border>
    <border>
      <left style="thin">
        <color theme="0" tint="-0.24994659260841701"/>
      </left>
      <right style="thin">
        <color theme="0" tint="-0.24994659260841701"/>
      </right>
      <top style="thin">
        <color theme="0" tint="-0.24994659260841701"/>
      </top>
      <bottom style="dotted">
        <color rgb="FFFF0000"/>
      </bottom>
      <diagonal/>
    </border>
    <border>
      <left style="thin">
        <color theme="0" tint="-0.24994659260841701"/>
      </left>
      <right style="medium">
        <color rgb="FFFF0000"/>
      </right>
      <top style="thin">
        <color theme="0" tint="-0.24994659260841701"/>
      </top>
      <bottom style="dotted">
        <color rgb="FFFF0000"/>
      </bottom>
      <diagonal/>
    </border>
    <border>
      <left/>
      <right style="dotted">
        <color rgb="FFFF0000"/>
      </right>
      <top/>
      <bottom style="dotted">
        <color rgb="FFFF0000"/>
      </bottom>
      <diagonal/>
    </border>
    <border>
      <left style="thin">
        <color rgb="FFBFBFBF"/>
      </left>
      <right style="thin">
        <color indexed="64"/>
      </right>
      <top style="medium">
        <color indexed="64"/>
      </top>
      <bottom/>
      <diagonal/>
    </border>
    <border>
      <left style="thin">
        <color rgb="FFBFBFBF"/>
      </left>
      <right style="medium">
        <color indexed="64"/>
      </right>
      <top style="medium">
        <color indexed="64"/>
      </top>
      <bottom/>
      <diagonal/>
    </border>
    <border>
      <left style="thin">
        <color theme="0" tint="-0.24994659260841701"/>
      </left>
      <right style="thin">
        <color theme="0" tint="-0.24994659260841701"/>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theme="4"/>
      </top>
      <bottom/>
      <diagonal/>
    </border>
    <border>
      <left style="medium">
        <color indexed="64"/>
      </left>
      <right/>
      <top style="thin">
        <color theme="4" tint="0.39997558519241921"/>
      </top>
      <bottom/>
      <diagonal/>
    </border>
    <border>
      <left/>
      <right/>
      <top style="thin">
        <color theme="4" tint="0.39997558519241921"/>
      </top>
      <bottom/>
      <diagonal/>
    </border>
    <border>
      <left/>
      <right style="medium">
        <color indexed="64"/>
      </right>
      <top style="thin">
        <color theme="4" tint="0.39997558519241921"/>
      </top>
      <bottom/>
      <diagonal/>
    </border>
    <border>
      <left style="medium">
        <color indexed="64"/>
      </left>
      <right/>
      <top style="thin">
        <color theme="4" tint="0.39997558519241921"/>
      </top>
      <bottom style="medium">
        <color auto="1"/>
      </bottom>
      <diagonal/>
    </border>
    <border>
      <left style="thin">
        <color indexed="64"/>
      </left>
      <right style="thin">
        <color indexed="64"/>
      </right>
      <top/>
      <bottom/>
      <diagonal/>
    </border>
    <border>
      <left style="thin">
        <color indexed="64"/>
      </left>
      <right style="thin">
        <color rgb="FFBFBFBF"/>
      </right>
      <top style="medium">
        <color indexed="64"/>
      </top>
      <bottom style="medium">
        <color indexed="64"/>
      </bottom>
      <diagonal/>
    </border>
    <border>
      <left style="medium">
        <color indexed="64"/>
      </left>
      <right style="thin">
        <color rgb="FFBFBFBF"/>
      </right>
      <top/>
      <bottom style="mediumDashed">
        <color indexed="64"/>
      </bottom>
      <diagonal/>
    </border>
    <border>
      <left style="thin">
        <color rgb="FFBFBFBF"/>
      </left>
      <right style="thin">
        <color rgb="FFBFBFBF"/>
      </right>
      <top/>
      <bottom style="mediumDashed">
        <color indexed="64"/>
      </bottom>
      <diagonal/>
    </border>
    <border>
      <left style="thin">
        <color rgb="FFBFBFBF"/>
      </left>
      <right style="medium">
        <color indexed="64"/>
      </right>
      <top/>
      <bottom style="mediumDashed">
        <color indexed="64"/>
      </bottom>
      <diagonal/>
    </border>
    <border>
      <left/>
      <right style="medium">
        <color indexed="64"/>
      </right>
      <top style="thin">
        <color indexed="64"/>
      </top>
      <bottom/>
      <diagonal/>
    </border>
    <border>
      <left style="medium">
        <color indexed="64"/>
      </left>
      <right/>
      <top style="thin">
        <color indexed="64"/>
      </top>
      <bottom style="thin">
        <color theme="0" tint="-0.24994659260841701"/>
      </bottom>
      <diagonal/>
    </border>
    <border>
      <left style="thin">
        <color theme="0" tint="-0.24994659260841701"/>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right style="thin">
        <color theme="0" tint="-0.24994659260841701"/>
      </right>
      <top style="thin">
        <color theme="0" tint="-0.24994659260841701"/>
      </top>
      <bottom style="thin">
        <color indexed="64"/>
      </bottom>
      <diagonal/>
    </border>
    <border>
      <left/>
      <right style="thin">
        <color theme="0" tint="-0.24994659260841701"/>
      </right>
      <top style="thin">
        <color auto="1"/>
      </top>
      <bottom style="thin">
        <color theme="0" tint="-0.24994659260841701"/>
      </bottom>
      <diagonal/>
    </border>
    <border>
      <left style="thin">
        <color theme="0" tint="-0.34998626667073579"/>
      </left>
      <right style="thin">
        <color indexed="64"/>
      </right>
      <top/>
      <bottom style="thin">
        <color indexed="64"/>
      </bottom>
      <diagonal/>
    </border>
    <border>
      <left style="thin">
        <color theme="0" tint="-0.34998626667073579"/>
      </left>
      <right style="thin">
        <color indexed="64"/>
      </right>
      <top/>
      <bottom style="medium">
        <color indexed="64"/>
      </bottom>
      <diagonal/>
    </border>
    <border>
      <left style="thin">
        <color theme="0" tint="-0.24994659260841701"/>
      </left>
      <right style="thin">
        <color indexed="64"/>
      </right>
      <top/>
      <bottom style="thin">
        <color indexed="64"/>
      </bottom>
      <diagonal/>
    </border>
    <border>
      <left style="medium">
        <color indexed="64"/>
      </left>
      <right style="medium">
        <color indexed="64"/>
      </right>
      <top style="thin">
        <color theme="4"/>
      </top>
      <bottom/>
      <diagonal/>
    </border>
    <border>
      <left style="medium">
        <color indexed="64"/>
      </left>
      <right style="medium">
        <color indexed="64"/>
      </right>
      <top/>
      <bottom style="medium">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rgb="FFA6A6A6"/>
      </left>
      <right style="thin">
        <color theme="0" tint="-0.24994659260841701"/>
      </right>
      <top style="thin">
        <color theme="0" tint="-0.24994659260841701"/>
      </top>
      <bottom style="thin">
        <color indexed="64"/>
      </bottom>
      <diagonal/>
    </border>
    <border>
      <left/>
      <right style="thin">
        <color theme="0" tint="-0.24994659260841701"/>
      </right>
      <top/>
      <bottom style="thin">
        <color indexed="64"/>
      </bottom>
      <diagonal/>
    </border>
    <border>
      <left style="medium">
        <color indexed="64"/>
      </left>
      <right style="medium">
        <color indexed="64"/>
      </right>
      <top style="thin">
        <color theme="0" tint="-0.24994659260841701"/>
      </top>
      <bottom style="thin">
        <color indexed="64"/>
      </bottom>
      <diagonal/>
    </border>
    <border>
      <left style="medium">
        <color indexed="64"/>
      </left>
      <right style="thin">
        <color rgb="FFA6A6A6"/>
      </right>
      <top style="medium">
        <color indexed="64"/>
      </top>
      <bottom style="thin">
        <color rgb="FFA6A6A6"/>
      </bottom>
      <diagonal/>
    </border>
    <border>
      <left style="medium">
        <color indexed="64"/>
      </left>
      <right style="thin">
        <color indexed="64"/>
      </right>
      <top style="thin">
        <color theme="0" tint="-0.24994659260841701"/>
      </top>
      <bottom/>
      <diagonal/>
    </border>
    <border>
      <left style="medium">
        <color indexed="64"/>
      </left>
      <right style="thin">
        <color rgb="FFA6A6A6"/>
      </right>
      <top/>
      <bottom style="medium">
        <color indexed="64"/>
      </bottom>
      <diagonal/>
    </border>
    <border>
      <left style="medium">
        <color auto="1"/>
      </left>
      <right style="thin">
        <color theme="0" tint="-0.34998626667073579"/>
      </right>
      <top style="medium">
        <color indexed="64"/>
      </top>
      <bottom style="medium">
        <color indexed="64"/>
      </bottom>
      <diagonal/>
    </border>
    <border>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theme="0" tint="-0.24994659260841701"/>
      </right>
      <top/>
      <bottom style="thin">
        <color theme="0" tint="-0.24994659260841701"/>
      </bottom>
      <diagonal/>
    </border>
  </borders>
  <cellStyleXfs count="13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58" borderId="0" applyNumberFormat="0" applyBorder="0" applyAlignment="0" applyProtection="0"/>
    <xf numFmtId="0" fontId="35" fillId="57" borderId="0">
      <alignment vertical="center"/>
    </xf>
    <xf numFmtId="0" fontId="36" fillId="58" borderId="16">
      <alignment vertical="center"/>
    </xf>
    <xf numFmtId="0" fontId="107" fillId="79" borderId="16" applyBorder="0">
      <alignment vertical="center"/>
    </xf>
    <xf numFmtId="0" fontId="19" fillId="59" borderId="16" applyBorder="0" applyProtection="0">
      <alignment vertical="center"/>
    </xf>
    <xf numFmtId="0" fontId="38" fillId="60" borderId="73" applyBorder="0">
      <alignment horizontal="left" vertical="center"/>
    </xf>
    <xf numFmtId="167" fontId="39" fillId="61" borderId="75" applyBorder="0">
      <alignment horizontal="right"/>
      <protection locked="0"/>
    </xf>
    <xf numFmtId="0" fontId="18" fillId="0" borderId="76">
      <alignment horizontal="left" vertical="center" wrapText="1" indent="1"/>
    </xf>
    <xf numFmtId="49" fontId="35" fillId="58" borderId="0">
      <alignment vertical="center"/>
    </xf>
    <xf numFmtId="0" fontId="35" fillId="57" borderId="0" applyNumberFormat="0" applyFont="0" applyBorder="0" applyAlignment="0" applyProtection="0">
      <alignment vertical="center"/>
    </xf>
    <xf numFmtId="170" fontId="71" fillId="70" borderId="243">
      <alignment horizontal="right" vertical="center"/>
    </xf>
    <xf numFmtId="0" fontId="21" fillId="41" borderId="92">
      <alignment horizontal="center" vertical="center" wrapText="1"/>
    </xf>
    <xf numFmtId="0" fontId="21" fillId="41" borderId="233">
      <alignment horizontal="right" vertical="center" wrapText="1" indent="1"/>
    </xf>
    <xf numFmtId="0" fontId="21" fillId="48" borderId="233">
      <alignment horizontal="right" vertical="center" wrapText="1" indent="1"/>
    </xf>
    <xf numFmtId="49" fontId="18" fillId="43" borderId="28" applyAlignment="0" applyProtection="0">
      <alignment horizontal="left" vertical="center" wrapText="1"/>
      <protection locked="0"/>
    </xf>
    <xf numFmtId="49" fontId="18" fillId="69" borderId="62" applyAlignment="0">
      <alignment horizontal="left" vertical="center" wrapText="1"/>
      <protection locked="0"/>
    </xf>
    <xf numFmtId="9" fontId="1" fillId="0" borderId="0" applyFont="0" applyFill="0" applyBorder="0" applyAlignment="0" applyProtection="0"/>
    <xf numFmtId="10" fontId="39" fillId="61" borderId="75" applyBorder="0">
      <alignment horizontal="right"/>
      <protection locked="0"/>
    </xf>
    <xf numFmtId="0" fontId="75" fillId="0" borderId="0" applyNumberFormat="0" applyFill="0" applyBorder="0" applyAlignment="0" applyProtection="0"/>
    <xf numFmtId="49" fontId="21" fillId="45" borderId="210" applyBorder="0">
      <alignment horizontal="center" vertical="center" wrapText="1"/>
    </xf>
    <xf numFmtId="0" fontId="21" fillId="71" borderId="13" applyBorder="0">
      <alignment horizontal="right" vertical="center" wrapText="1" indent="1"/>
    </xf>
    <xf numFmtId="0" fontId="21" fillId="72" borderId="13" applyBorder="0">
      <alignment horizontal="right" vertical="center" wrapText="1" indent="1"/>
    </xf>
    <xf numFmtId="170" fontId="71" fillId="73" borderId="243">
      <alignment horizontal="right" vertical="center"/>
    </xf>
    <xf numFmtId="0" fontId="83"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75" fillId="0" borderId="0" applyNumberFormat="0" applyFill="0" applyBorder="0" applyAlignment="0" applyProtection="0"/>
    <xf numFmtId="0" fontId="35" fillId="57" borderId="0">
      <alignment vertical="center"/>
    </xf>
    <xf numFmtId="0" fontId="38" fillId="60" borderId="73" applyBorder="0">
      <alignment vertical="center"/>
    </xf>
    <xf numFmtId="0" fontId="38" fillId="84" borderId="73" applyBorder="0">
      <alignment horizontal="left" vertical="center"/>
    </xf>
    <xf numFmtId="0" fontId="133" fillId="95" borderId="0" applyNumberFormat="0" applyBorder="0" applyAlignment="0" applyProtection="0"/>
    <xf numFmtId="0" fontId="133" fillId="96" borderId="0" applyNumberFormat="0" applyBorder="0" applyAlignment="0" applyProtection="0"/>
    <xf numFmtId="0" fontId="133" fillId="97" borderId="0" applyNumberFormat="0" applyBorder="0" applyAlignment="0" applyProtection="0"/>
    <xf numFmtId="0" fontId="133" fillId="98" borderId="0" applyNumberFormat="0" applyBorder="0" applyAlignment="0" applyProtection="0"/>
    <xf numFmtId="0" fontId="133" fillId="95" borderId="0" applyNumberFormat="0" applyBorder="0" applyAlignment="0" applyProtection="0"/>
    <xf numFmtId="0" fontId="133" fillId="96" borderId="0" applyNumberFormat="0" applyBorder="0" applyAlignment="0" applyProtection="0"/>
    <xf numFmtId="0" fontId="133" fillId="95" borderId="0" applyNumberFormat="0" applyBorder="0" applyAlignment="0" applyProtection="0"/>
    <xf numFmtId="0" fontId="133" fillId="96" borderId="0" applyNumberFormat="0" applyBorder="0" applyAlignment="0" applyProtection="0"/>
    <xf numFmtId="0" fontId="133" fillId="99" borderId="0" applyNumberFormat="0" applyBorder="0" applyAlignment="0" applyProtection="0"/>
    <xf numFmtId="0" fontId="133" fillId="100" borderId="0" applyNumberFormat="0" applyBorder="0" applyAlignment="0" applyProtection="0"/>
    <xf numFmtId="0" fontId="133" fillId="95" borderId="0" applyNumberFormat="0" applyBorder="0" applyAlignment="0" applyProtection="0"/>
    <xf numFmtId="0" fontId="133" fillId="96" borderId="0" applyNumberFormat="0" applyBorder="0" applyAlignment="0" applyProtection="0"/>
    <xf numFmtId="0" fontId="134" fillId="95" borderId="0" applyNumberFormat="0" applyBorder="0" applyAlignment="0" applyProtection="0"/>
    <xf numFmtId="0" fontId="134" fillId="96" borderId="0" applyNumberFormat="0" applyBorder="0" applyAlignment="0" applyProtection="0"/>
    <xf numFmtId="0" fontId="134" fillId="99" borderId="0" applyNumberFormat="0" applyBorder="0" applyAlignment="0" applyProtection="0"/>
    <xf numFmtId="0" fontId="134" fillId="100" borderId="0" applyNumberFormat="0" applyBorder="0" applyAlignment="0" applyProtection="0"/>
    <xf numFmtId="0" fontId="134" fillId="95" borderId="0" applyNumberFormat="0" applyBorder="0" applyAlignment="0" applyProtection="0"/>
    <xf numFmtId="0" fontId="134" fillId="96" borderId="0" applyNumberFormat="0" applyBorder="0" applyAlignment="0" applyProtection="0"/>
    <xf numFmtId="0" fontId="134" fillId="101" borderId="0" applyNumberFormat="0" applyBorder="0" applyAlignment="0" applyProtection="0"/>
    <xf numFmtId="0" fontId="134" fillId="102" borderId="0" applyNumberFormat="0" applyBorder="0" applyAlignment="0" applyProtection="0"/>
    <xf numFmtId="0" fontId="134" fillId="103" borderId="0" applyNumberFormat="0" applyBorder="0" applyAlignment="0" applyProtection="0"/>
    <xf numFmtId="0" fontId="134" fillId="104" borderId="0" applyNumberFormat="0" applyBorder="0" applyAlignment="0" applyProtection="0"/>
    <xf numFmtId="0" fontId="134" fillId="101" borderId="0" applyNumberFormat="0" applyBorder="0" applyAlignment="0" applyProtection="0"/>
    <xf numFmtId="0" fontId="134" fillId="105" borderId="0" applyNumberFormat="0" applyBorder="0" applyAlignment="0" applyProtection="0"/>
    <xf numFmtId="0" fontId="135" fillId="106" borderId="0" applyNumberFormat="0" applyBorder="0" applyAlignment="0" applyProtection="0"/>
    <xf numFmtId="175" fontId="18" fillId="107" borderId="0" applyNumberFormat="0" applyFont="0" applyBorder="0" applyAlignment="0">
      <alignment horizontal="right"/>
    </xf>
    <xf numFmtId="0" fontId="136" fillId="98" borderId="332" applyNumberFormat="0" applyAlignment="0" applyProtection="0"/>
    <xf numFmtId="0" fontId="137" fillId="108" borderId="333" applyNumberFormat="0" applyAlignment="0" applyProtection="0"/>
    <xf numFmtId="164" fontId="18" fillId="0" borderId="0" applyFont="0" applyFill="0" applyBorder="0" applyAlignment="0" applyProtection="0"/>
    <xf numFmtId="164" fontId="13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0" fontId="139" fillId="0" borderId="0" applyNumberFormat="0" applyFill="0" applyBorder="0" applyAlignment="0" applyProtection="0"/>
    <xf numFmtId="0" fontId="140" fillId="109" borderId="0" applyNumberFormat="0" applyBorder="0" applyAlignment="0" applyProtection="0"/>
    <xf numFmtId="0" fontId="141" fillId="0" borderId="334" applyNumberFormat="0" applyFill="0" applyAlignment="0" applyProtection="0"/>
    <xf numFmtId="0" fontId="142" fillId="0" borderId="335" applyNumberFormat="0" applyFill="0" applyAlignment="0" applyProtection="0"/>
    <xf numFmtId="0" fontId="143" fillId="0" borderId="336" applyNumberFormat="0" applyFill="0" applyAlignment="0" applyProtection="0"/>
    <xf numFmtId="0" fontId="143" fillId="0" borderId="0" applyNumberFormat="0" applyFill="0" applyBorder="0" applyAlignment="0" applyProtection="0"/>
    <xf numFmtId="0" fontId="144" fillId="96" borderId="332" applyNumberFormat="0" applyAlignment="0" applyProtection="0"/>
    <xf numFmtId="175" fontId="18" fillId="110" borderId="0" applyFont="0" applyBorder="0" applyAlignment="0">
      <alignment horizontal="right"/>
      <protection locked="0"/>
    </xf>
    <xf numFmtId="176" fontId="18" fillId="111" borderId="0" applyFont="0" applyBorder="0">
      <alignment horizontal="right"/>
      <protection locked="0"/>
    </xf>
    <xf numFmtId="175" fontId="18" fillId="112" borderId="0" applyFont="0" applyBorder="0">
      <alignment horizontal="right"/>
      <protection locked="0"/>
    </xf>
    <xf numFmtId="0" fontId="145" fillId="0" borderId="337" applyNumberFormat="0" applyFill="0" applyAlignment="0" applyProtection="0"/>
    <xf numFmtId="0" fontId="146" fillId="99" borderId="0" applyNumberFormat="0" applyBorder="0" applyAlignment="0" applyProtection="0"/>
    <xf numFmtId="0" fontId="18" fillId="0" borderId="0" applyFill="0"/>
    <xf numFmtId="0" fontId="18" fillId="33" borderId="0"/>
    <xf numFmtId="0" fontId="18" fillId="0" borderId="0"/>
    <xf numFmtId="0" fontId="18" fillId="0" borderId="0"/>
    <xf numFmtId="0" fontId="1" fillId="0" borderId="0"/>
    <xf numFmtId="0" fontId="1" fillId="0" borderId="0"/>
    <xf numFmtId="0" fontId="1" fillId="0" borderId="0"/>
    <xf numFmtId="0" fontId="18" fillId="0" borderId="0"/>
    <xf numFmtId="0" fontId="18" fillId="33" borderId="0"/>
    <xf numFmtId="0" fontId="18" fillId="33" borderId="0"/>
    <xf numFmtId="0" fontId="1" fillId="0" borderId="0"/>
    <xf numFmtId="0" fontId="1" fillId="0" borderId="0"/>
    <xf numFmtId="0" fontId="1" fillId="0" borderId="0"/>
    <xf numFmtId="0" fontId="18" fillId="97" borderId="338" applyNumberFormat="0" applyFont="0" applyAlignment="0" applyProtection="0"/>
    <xf numFmtId="0" fontId="147" fillId="98" borderId="339" applyNumberFormat="0" applyAlignment="0" applyProtection="0"/>
    <xf numFmtId="9" fontId="18" fillId="0" borderId="0" applyFont="0" applyFill="0" applyBorder="0" applyAlignment="0" applyProtection="0"/>
    <xf numFmtId="0" fontId="18" fillId="0" borderId="0"/>
    <xf numFmtId="0" fontId="148" fillId="0" borderId="0" applyNumberFormat="0" applyFill="0" applyBorder="0" applyAlignment="0" applyProtection="0"/>
    <xf numFmtId="0" fontId="78" fillId="0" borderId="340" applyNumberFormat="0" applyFill="0" applyAlignment="0" applyProtection="0"/>
    <xf numFmtId="0" fontId="149" fillId="0" borderId="0" applyNumberFormat="0" applyFill="0" applyBorder="0" applyAlignment="0" applyProtection="0"/>
  </cellStyleXfs>
  <cellXfs count="1716">
    <xf numFmtId="0" fontId="0" fillId="0" borderId="0" xfId="0"/>
    <xf numFmtId="0" fontId="1" fillId="0" borderId="0" xfId="0" applyFont="1"/>
    <xf numFmtId="0" fontId="16" fillId="34" borderId="13" xfId="0" applyFont="1" applyFill="1" applyBorder="1" applyAlignment="1">
      <alignment horizontal="center" vertical="top"/>
    </xf>
    <xf numFmtId="0" fontId="16" fillId="34" borderId="14" xfId="0" applyFont="1" applyFill="1" applyBorder="1" applyAlignment="1">
      <alignment horizontal="center" vertical="top"/>
    </xf>
    <xf numFmtId="0" fontId="1" fillId="34" borderId="14" xfId="0" applyFont="1" applyFill="1" applyBorder="1" applyAlignment="1">
      <alignment horizontal="left" vertical="top"/>
    </xf>
    <xf numFmtId="0" fontId="0" fillId="34" borderId="14" xfId="0" quotePrefix="1" applyFont="1" applyFill="1" applyBorder="1" applyAlignment="1">
      <alignment horizontal="left" vertical="top"/>
    </xf>
    <xf numFmtId="0" fontId="1" fillId="34" borderId="15" xfId="0" applyFont="1" applyFill="1" applyBorder="1" applyAlignment="1">
      <alignment horizontal="left" vertical="top"/>
    </xf>
    <xf numFmtId="0" fontId="18" fillId="0" borderId="0" xfId="0" applyFont="1" applyAlignment="1">
      <alignment horizontal="left"/>
    </xf>
    <xf numFmtId="0" fontId="0" fillId="0" borderId="0" xfId="0" applyAlignment="1">
      <alignment vertical="top" wrapText="1"/>
    </xf>
    <xf numFmtId="0" fontId="70" fillId="51" borderId="14" xfId="0" applyFont="1" applyFill="1" applyBorder="1" applyAlignment="1">
      <alignment horizontal="center"/>
    </xf>
    <xf numFmtId="49" fontId="21" fillId="47" borderId="0" xfId="0" applyNumberFormat="1" applyFont="1" applyFill="1" applyAlignment="1" applyProtection="1">
      <alignment horizontal="right" vertical="top"/>
    </xf>
    <xf numFmtId="14" fontId="22" fillId="47" borderId="0" xfId="0" applyNumberFormat="1" applyFont="1" applyFill="1" applyAlignment="1">
      <alignment horizontal="left" vertical="top"/>
    </xf>
    <xf numFmtId="0" fontId="22" fillId="47" borderId="0" xfId="0" applyFont="1" applyFill="1" applyAlignment="1">
      <alignment vertical="top"/>
    </xf>
    <xf numFmtId="0" fontId="22" fillId="47" borderId="0" xfId="0" applyFont="1" applyFill="1" applyAlignment="1" applyProtection="1">
      <alignment vertical="top"/>
    </xf>
    <xf numFmtId="0" fontId="23" fillId="44" borderId="0" xfId="0" applyFont="1" applyFill="1" applyAlignment="1"/>
    <xf numFmtId="0" fontId="22" fillId="47" borderId="0" xfId="0" applyFont="1" applyFill="1" applyAlignment="1">
      <alignment horizontal="left" vertical="top"/>
    </xf>
    <xf numFmtId="0" fontId="16" fillId="48" borderId="12" xfId="0" applyFont="1" applyFill="1" applyBorder="1" applyAlignment="1">
      <alignment horizontal="center"/>
    </xf>
    <xf numFmtId="0" fontId="24" fillId="49" borderId="36" xfId="0" applyFont="1" applyFill="1" applyBorder="1" applyAlignment="1">
      <alignment horizontal="center"/>
    </xf>
    <xf numFmtId="0" fontId="19" fillId="48" borderId="37" xfId="0" applyFont="1" applyFill="1" applyBorder="1" applyAlignment="1">
      <alignment horizontal="center"/>
    </xf>
    <xf numFmtId="0" fontId="19" fillId="48" borderId="0" xfId="0" applyFont="1" applyFill="1" applyBorder="1" applyAlignment="1">
      <alignment horizontal="center"/>
    </xf>
    <xf numFmtId="0" fontId="16" fillId="48" borderId="38" xfId="0" applyFont="1" applyFill="1" applyBorder="1" applyAlignment="1">
      <alignment horizontal="center"/>
    </xf>
    <xf numFmtId="0" fontId="16" fillId="34" borderId="37" xfId="0" applyFont="1" applyFill="1" applyBorder="1" applyAlignment="1">
      <alignment horizontal="center"/>
    </xf>
    <xf numFmtId="0" fontId="16" fillId="34" borderId="0" xfId="0" applyFont="1" applyFill="1" applyBorder="1" applyAlignment="1">
      <alignment horizontal="center"/>
    </xf>
    <xf numFmtId="0" fontId="16" fillId="34" borderId="38" xfId="0" applyFont="1" applyFill="1" applyBorder="1" applyAlignment="1">
      <alignment horizontal="center"/>
    </xf>
    <xf numFmtId="49" fontId="20" fillId="51" borderId="0" xfId="0" applyNumberFormat="1" applyFont="1" applyFill="1" applyProtection="1"/>
    <xf numFmtId="0" fontId="20" fillId="51" borderId="0" xfId="0" applyFont="1" applyFill="1" applyAlignment="1" applyProtection="1">
      <alignment horizontal="center"/>
    </xf>
    <xf numFmtId="1" fontId="20" fillId="51" borderId="0" xfId="0" applyNumberFormat="1" applyFont="1" applyFill="1" applyProtection="1"/>
    <xf numFmtId="0" fontId="16" fillId="48" borderId="13" xfId="0" applyFont="1" applyFill="1" applyBorder="1"/>
    <xf numFmtId="0" fontId="16" fillId="48" borderId="14" xfId="0" applyFont="1" applyFill="1" applyBorder="1"/>
    <xf numFmtId="0" fontId="16" fillId="48" borderId="15" xfId="0" applyFont="1" applyFill="1" applyBorder="1" applyAlignment="1">
      <alignment horizontal="center"/>
    </xf>
    <xf numFmtId="0" fontId="24" fillId="49" borderId="39" xfId="0" applyFont="1" applyFill="1" applyBorder="1" applyAlignment="1">
      <alignment horizontal="center"/>
    </xf>
    <xf numFmtId="0" fontId="0" fillId="34" borderId="37" xfId="0" applyFill="1" applyBorder="1"/>
    <xf numFmtId="0" fontId="0" fillId="34" borderId="0" xfId="0" applyFill="1" applyBorder="1"/>
    <xf numFmtId="0" fontId="0" fillId="34" borderId="38" xfId="0" applyFill="1" applyBorder="1"/>
    <xf numFmtId="0" fontId="19" fillId="54" borderId="40" xfId="0" applyNumberFormat="1" applyFont="1" applyFill="1" applyBorder="1" applyAlignment="1">
      <alignment vertical="center" wrapText="1"/>
    </xf>
    <xf numFmtId="0" fontId="19" fillId="54" borderId="20" xfId="0" applyNumberFormat="1" applyFont="1" applyFill="1" applyBorder="1" applyAlignment="1">
      <alignment vertical="center" wrapText="1"/>
    </xf>
    <xf numFmtId="0" fontId="19" fillId="45" borderId="20" xfId="0" applyNumberFormat="1" applyFont="1" applyFill="1" applyBorder="1" applyAlignment="1">
      <alignment vertical="center" wrapText="1"/>
    </xf>
    <xf numFmtId="0" fontId="19" fillId="37" borderId="10" xfId="0" applyNumberFormat="1" applyFont="1" applyFill="1" applyBorder="1" applyAlignment="1">
      <alignment vertical="center" wrapText="1"/>
    </xf>
    <xf numFmtId="0" fontId="19" fillId="37" borderId="11" xfId="0" applyNumberFormat="1" applyFont="1" applyFill="1" applyBorder="1" applyAlignment="1">
      <alignment vertical="center" wrapText="1"/>
    </xf>
    <xf numFmtId="0" fontId="20" fillId="51" borderId="10" xfId="0" applyNumberFormat="1" applyFont="1" applyFill="1" applyBorder="1" applyAlignment="1">
      <alignment vertical="top"/>
    </xf>
    <xf numFmtId="165" fontId="18" fillId="51" borderId="41" xfId="0" applyNumberFormat="1" applyFont="1" applyFill="1" applyBorder="1" applyAlignment="1">
      <alignment horizontal="right" vertical="top" indent="1"/>
    </xf>
    <xf numFmtId="0" fontId="18" fillId="55" borderId="20" xfId="0" applyNumberFormat="1" applyFont="1" applyFill="1" applyBorder="1" applyAlignment="1">
      <alignment vertical="top"/>
    </xf>
    <xf numFmtId="0" fontId="27" fillId="55" borderId="20" xfId="0" applyNumberFormat="1" applyFont="1" applyFill="1" applyBorder="1" applyAlignment="1">
      <alignment vertical="top"/>
    </xf>
    <xf numFmtId="0" fontId="18" fillId="55" borderId="20" xfId="0" applyNumberFormat="1" applyFont="1" applyFill="1" applyBorder="1" applyAlignment="1">
      <alignment vertical="center"/>
    </xf>
    <xf numFmtId="166" fontId="18" fillId="55" borderId="20" xfId="0" applyNumberFormat="1" applyFont="1" applyFill="1" applyBorder="1" applyAlignment="1">
      <alignment horizontal="center" vertical="center"/>
    </xf>
    <xf numFmtId="0" fontId="18" fillId="55" borderId="10" xfId="0" applyNumberFormat="1" applyFont="1" applyFill="1" applyBorder="1" applyAlignment="1">
      <alignment vertical="center"/>
    </xf>
    <xf numFmtId="166" fontId="18" fillId="55" borderId="20" xfId="0" applyNumberFormat="1" applyFont="1" applyFill="1" applyBorder="1" applyAlignment="1">
      <alignment horizontal="center"/>
    </xf>
    <xf numFmtId="0" fontId="28" fillId="55" borderId="10" xfId="0" applyNumberFormat="1" applyFont="1" applyFill="1" applyBorder="1" applyAlignment="1"/>
    <xf numFmtId="0" fontId="28" fillId="55" borderId="20" xfId="0" applyNumberFormat="1" applyFont="1" applyFill="1" applyBorder="1" applyAlignment="1"/>
    <xf numFmtId="0" fontId="18" fillId="55" borderId="20" xfId="0" applyNumberFormat="1" applyFont="1" applyFill="1" applyBorder="1" applyAlignment="1"/>
    <xf numFmtId="0" fontId="18" fillId="0" borderId="26" xfId="0" applyNumberFormat="1" applyFont="1" applyBorder="1" applyAlignment="1">
      <alignment vertical="top"/>
    </xf>
    <xf numFmtId="0" fontId="18" fillId="0" borderId="25" xfId="0" applyNumberFormat="1" applyFont="1" applyBorder="1" applyAlignment="1">
      <alignment horizontal="center" vertical="top"/>
    </xf>
    <xf numFmtId="166" fontId="18" fillId="0" borderId="26" xfId="0" applyNumberFormat="1" applyFont="1" applyBorder="1" applyAlignment="1">
      <alignment horizontal="center" vertical="center"/>
    </xf>
    <xf numFmtId="0" fontId="18" fillId="0" borderId="25" xfId="0" applyNumberFormat="1" applyFont="1" applyBorder="1" applyAlignment="1">
      <alignment vertical="center"/>
    </xf>
    <xf numFmtId="0" fontId="28" fillId="0" borderId="25" xfId="0" applyNumberFormat="1" applyFont="1" applyBorder="1" applyAlignment="1"/>
    <xf numFmtId="0" fontId="18" fillId="55" borderId="26" xfId="0" applyNumberFormat="1" applyFont="1" applyFill="1" applyBorder="1" applyAlignment="1">
      <alignment vertical="top"/>
    </xf>
    <xf numFmtId="0" fontId="18" fillId="55" borderId="25" xfId="0" applyNumberFormat="1" applyFont="1" applyFill="1" applyBorder="1" applyAlignment="1">
      <alignment vertical="center"/>
    </xf>
    <xf numFmtId="0" fontId="28" fillId="55" borderId="25" xfId="0" applyNumberFormat="1" applyFont="1" applyFill="1" applyBorder="1" applyAlignment="1"/>
    <xf numFmtId="0" fontId="18" fillId="0" borderId="26" xfId="0" applyNumberFormat="1" applyFont="1" applyBorder="1" applyAlignment="1">
      <alignment vertical="center"/>
    </xf>
    <xf numFmtId="0" fontId="26" fillId="55" borderId="26" xfId="0" applyNumberFormat="1" applyFont="1" applyFill="1" applyBorder="1" applyAlignment="1">
      <alignment vertical="top"/>
    </xf>
    <xf numFmtId="0" fontId="27" fillId="55" borderId="26" xfId="0" applyNumberFormat="1" applyFont="1" applyFill="1" applyBorder="1" applyAlignment="1">
      <alignment vertical="top"/>
    </xf>
    <xf numFmtId="0" fontId="18" fillId="55" borderId="26" xfId="0" applyNumberFormat="1" applyFont="1" applyFill="1" applyBorder="1" applyAlignment="1">
      <alignment vertical="center"/>
    </xf>
    <xf numFmtId="0" fontId="26" fillId="0" borderId="26" xfId="0" applyNumberFormat="1" applyFont="1" applyBorder="1" applyAlignment="1">
      <alignment vertical="top"/>
    </xf>
    <xf numFmtId="0" fontId="27" fillId="0" borderId="26" xfId="0" applyNumberFormat="1" applyFont="1" applyBorder="1" applyAlignment="1">
      <alignment vertical="top"/>
    </xf>
    <xf numFmtId="1" fontId="20" fillId="0" borderId="26" xfId="0" applyNumberFormat="1" applyFont="1" applyBorder="1" applyAlignment="1">
      <alignment horizontal="center" vertical="top"/>
    </xf>
    <xf numFmtId="0" fontId="28" fillId="55" borderId="26" xfId="0" applyNumberFormat="1" applyFont="1" applyFill="1" applyBorder="1" applyAlignment="1"/>
    <xf numFmtId="0" fontId="28" fillId="0" borderId="26" xfId="0" applyNumberFormat="1" applyFont="1" applyBorder="1" applyAlignment="1"/>
    <xf numFmtId="0" fontId="18" fillId="55" borderId="26" xfId="0" applyNumberFormat="1" applyFont="1" applyFill="1" applyBorder="1" applyAlignment="1"/>
    <xf numFmtId="0" fontId="18" fillId="0" borderId="25" xfId="0" applyNumberFormat="1" applyFont="1" applyBorder="1" applyAlignment="1"/>
    <xf numFmtId="0" fontId="18" fillId="0" borderId="26" xfId="0" applyNumberFormat="1" applyFont="1" applyBorder="1" applyAlignment="1"/>
    <xf numFmtId="0" fontId="20" fillId="51" borderId="42" xfId="0" applyNumberFormat="1" applyFont="1" applyFill="1" applyBorder="1" applyAlignment="1">
      <alignment vertical="top"/>
    </xf>
    <xf numFmtId="165" fontId="18" fillId="51" borderId="43" xfId="0" applyNumberFormat="1" applyFont="1" applyFill="1" applyBorder="1" applyAlignment="1">
      <alignment horizontal="right" vertical="top" indent="1"/>
    </xf>
    <xf numFmtId="166" fontId="18" fillId="55" borderId="26" xfId="0" applyNumberFormat="1" applyFont="1" applyFill="1" applyBorder="1" applyAlignment="1">
      <alignment horizontal="center" vertical="center"/>
    </xf>
    <xf numFmtId="0" fontId="0" fillId="0" borderId="11" xfId="0" applyBorder="1"/>
    <xf numFmtId="0" fontId="20" fillId="51" borderId="0" xfId="0" applyFont="1" applyFill="1" applyAlignment="1" applyProtection="1">
      <alignment vertical="center"/>
    </xf>
    <xf numFmtId="1" fontId="20" fillId="51" borderId="0" xfId="0" applyNumberFormat="1" applyFont="1" applyFill="1" applyAlignment="1" applyProtection="1">
      <alignment vertical="center"/>
    </xf>
    <xf numFmtId="0" fontId="0" fillId="58" borderId="0" xfId="42" applyFont="1"/>
    <xf numFmtId="0" fontId="0" fillId="0" borderId="0" xfId="0" applyBorder="1"/>
    <xf numFmtId="0" fontId="0" fillId="0" borderId="59" xfId="0" applyBorder="1"/>
    <xf numFmtId="0" fontId="0" fillId="0" borderId="28" xfId="0" applyBorder="1"/>
    <xf numFmtId="0" fontId="0" fillId="0" borderId="0" xfId="0" applyAlignment="1">
      <alignment horizontal="center"/>
    </xf>
    <xf numFmtId="0" fontId="1" fillId="0" borderId="0" xfId="0" applyFont="1" applyAlignment="1">
      <alignment horizontal="left" indent="2"/>
    </xf>
    <xf numFmtId="0" fontId="0" fillId="0" borderId="33" xfId="0" applyBorder="1"/>
    <xf numFmtId="0" fontId="35" fillId="57" borderId="0" xfId="43">
      <alignment vertical="center"/>
    </xf>
    <xf numFmtId="0" fontId="36" fillId="58" borderId="16" xfId="44">
      <alignment vertical="center"/>
    </xf>
    <xf numFmtId="0" fontId="0" fillId="0" borderId="22" xfId="0" applyBorder="1"/>
    <xf numFmtId="0" fontId="19" fillId="59" borderId="0" xfId="46" applyBorder="1">
      <alignment vertical="center"/>
    </xf>
    <xf numFmtId="167" fontId="39" fillId="61" borderId="0" xfId="48" applyBorder="1">
      <alignment horizontal="right"/>
      <protection locked="0"/>
    </xf>
    <xf numFmtId="0" fontId="18" fillId="0" borderId="76" xfId="49">
      <alignment horizontal="left" vertical="center" wrapText="1" indent="1"/>
    </xf>
    <xf numFmtId="0" fontId="25" fillId="62" borderId="36" xfId="0" applyFont="1" applyFill="1" applyBorder="1" applyAlignment="1" applyProtection="1">
      <alignment horizontal="center" vertical="center" wrapText="1"/>
    </xf>
    <xf numFmtId="0" fontId="0" fillId="0" borderId="0" xfId="0" quotePrefix="1" applyAlignment="1">
      <alignment horizontal="center" vertical="top"/>
    </xf>
    <xf numFmtId="0" fontId="19" fillId="0" borderId="0" xfId="0" applyFont="1"/>
    <xf numFmtId="49" fontId="18" fillId="67" borderId="21" xfId="0" applyNumberFormat="1" applyFont="1" applyFill="1" applyBorder="1" applyAlignment="1">
      <alignment horizontal="center"/>
    </xf>
    <xf numFmtId="49" fontId="18" fillId="67" borderId="27" xfId="0" applyNumberFormat="1" applyFont="1" applyFill="1" applyBorder="1" applyAlignment="1">
      <alignment horizontal="center"/>
    </xf>
    <xf numFmtId="49" fontId="0" fillId="62" borderId="29" xfId="0" applyNumberFormat="1" applyFill="1" applyBorder="1" applyAlignment="1">
      <alignment horizontal="center"/>
    </xf>
    <xf numFmtId="0" fontId="18" fillId="0" borderId="0" xfId="0" applyFont="1" applyFill="1" applyBorder="1"/>
    <xf numFmtId="49" fontId="18" fillId="67" borderId="32" xfId="0" applyNumberFormat="1" applyFont="1" applyFill="1" applyBorder="1" applyAlignment="1">
      <alignment horizontal="center"/>
    </xf>
    <xf numFmtId="49" fontId="0" fillId="62" borderId="34" xfId="0" applyNumberFormat="1" applyFill="1" applyBorder="1" applyAlignment="1">
      <alignment horizontal="center"/>
    </xf>
    <xf numFmtId="0" fontId="19" fillId="50" borderId="18" xfId="0" applyFont="1" applyFill="1" applyBorder="1" applyAlignment="1">
      <alignment vertical="center"/>
    </xf>
    <xf numFmtId="0" fontId="19" fillId="50" borderId="19" xfId="0" applyFont="1" applyFill="1"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45" fillId="0" borderId="0" xfId="0" applyFont="1" applyBorder="1" applyAlignment="1">
      <alignment vertical="center"/>
    </xf>
    <xf numFmtId="49" fontId="35" fillId="58" borderId="0" xfId="50">
      <alignment vertical="center"/>
    </xf>
    <xf numFmtId="0" fontId="0" fillId="0" borderId="0" xfId="0" applyBorder="1" applyAlignment="1">
      <alignment vertical="center"/>
    </xf>
    <xf numFmtId="0" fontId="24" fillId="45" borderId="94" xfId="0" applyFont="1" applyFill="1" applyBorder="1" applyAlignment="1" applyProtection="1">
      <alignment horizontal="center" vertical="center" wrapText="1"/>
    </xf>
    <xf numFmtId="0" fontId="19" fillId="45" borderId="17" xfId="0" applyFont="1" applyFill="1" applyBorder="1" applyAlignment="1" applyProtection="1">
      <alignment horizontal="center" vertical="center" wrapText="1"/>
    </xf>
    <xf numFmtId="169" fontId="46" fillId="51" borderId="95" xfId="0" applyNumberFormat="1" applyFont="1" applyFill="1" applyBorder="1"/>
    <xf numFmtId="0" fontId="0" fillId="0" borderId="96" xfId="0" applyBorder="1"/>
    <xf numFmtId="0" fontId="40" fillId="0" borderId="0" xfId="0" applyFont="1"/>
    <xf numFmtId="169" fontId="19" fillId="45" borderId="97" xfId="0" applyNumberFormat="1" applyFont="1" applyFill="1" applyBorder="1" applyAlignment="1">
      <alignment horizontal="center" vertical="center" wrapText="1"/>
    </xf>
    <xf numFmtId="169" fontId="19" fillId="54" borderId="97" xfId="0" applyNumberFormat="1" applyFont="1" applyFill="1" applyBorder="1" applyAlignment="1">
      <alignment horizontal="center" vertical="center" wrapText="1"/>
    </xf>
    <xf numFmtId="0" fontId="18" fillId="63" borderId="0" xfId="0" applyFont="1" applyFill="1" applyBorder="1" applyAlignment="1">
      <alignment vertical="top"/>
    </xf>
    <xf numFmtId="169" fontId="19" fillId="54" borderId="95" xfId="0" applyNumberFormat="1" applyFont="1" applyFill="1" applyBorder="1" applyAlignment="1">
      <alignment horizontal="center" vertical="center" wrapText="1"/>
    </xf>
    <xf numFmtId="169" fontId="19" fillId="54" borderId="96" xfId="0" applyNumberFormat="1" applyFont="1" applyFill="1" applyBorder="1" applyAlignment="1">
      <alignment horizontal="center" vertical="center" wrapText="1"/>
    </xf>
    <xf numFmtId="0" fontId="18" fillId="63" borderId="0" xfId="0" applyFont="1" applyFill="1" applyBorder="1"/>
    <xf numFmtId="0" fontId="0" fillId="0" borderId="38" xfId="0" applyBorder="1"/>
    <xf numFmtId="0" fontId="18" fillId="0" borderId="0" xfId="0" quotePrefix="1" applyFont="1"/>
    <xf numFmtId="14" fontId="19" fillId="45" borderId="46" xfId="0" applyNumberFormat="1" applyFont="1" applyFill="1" applyBorder="1" applyAlignment="1">
      <alignment vertical="center"/>
    </xf>
    <xf numFmtId="0" fontId="19" fillId="54" borderId="94" xfId="0" applyFont="1" applyFill="1" applyBorder="1" applyAlignment="1">
      <alignment horizontal="center" vertical="center" wrapText="1"/>
    </xf>
    <xf numFmtId="0" fontId="19" fillId="45" borderId="98" xfId="0" applyFont="1" applyFill="1" applyBorder="1" applyAlignment="1">
      <alignment horizontal="center" vertical="center" wrapText="1"/>
    </xf>
    <xf numFmtId="0" fontId="0" fillId="0" borderId="0" xfId="0" applyFill="1" applyAlignment="1">
      <alignment vertical="top"/>
    </xf>
    <xf numFmtId="0" fontId="0" fillId="0" borderId="0" xfId="0" applyAlignment="1">
      <alignment vertical="top"/>
    </xf>
    <xf numFmtId="0" fontId="0" fillId="0" borderId="0" xfId="0" applyFill="1" applyAlignment="1">
      <alignment horizontal="center" vertical="top"/>
    </xf>
    <xf numFmtId="0" fontId="0" fillId="0" borderId="14" xfId="0" applyBorder="1" applyAlignment="1">
      <alignment vertical="center"/>
    </xf>
    <xf numFmtId="0" fontId="20" fillId="51" borderId="0" xfId="0" applyFont="1" applyFill="1" applyProtection="1">
      <protection locked="0"/>
    </xf>
    <xf numFmtId="0" fontId="0" fillId="0" borderId="0" xfId="0" applyAlignment="1">
      <alignment horizontal="left"/>
    </xf>
    <xf numFmtId="0" fontId="0" fillId="0" borderId="0" xfId="0" quotePrefix="1"/>
    <xf numFmtId="0" fontId="0" fillId="0" borderId="0" xfId="0" applyFill="1"/>
    <xf numFmtId="0" fontId="20" fillId="51" borderId="0" xfId="0" applyFont="1" applyFill="1" applyBorder="1" applyProtection="1"/>
    <xf numFmtId="0" fontId="0" fillId="0" borderId="14" xfId="0" applyBorder="1"/>
    <xf numFmtId="0" fontId="46" fillId="48" borderId="0" xfId="0" applyFont="1" applyFill="1" applyBorder="1" applyAlignment="1" applyProtection="1">
      <alignment vertical="top"/>
    </xf>
    <xf numFmtId="0" fontId="46" fillId="48" borderId="38" xfId="0" applyFont="1" applyFill="1" applyBorder="1" applyAlignment="1" applyProtection="1">
      <alignment vertical="top"/>
    </xf>
    <xf numFmtId="0" fontId="18" fillId="48" borderId="27" xfId="0" applyFont="1" applyFill="1" applyBorder="1" applyAlignment="1" applyProtection="1">
      <alignment vertical="top"/>
    </xf>
    <xf numFmtId="0" fontId="18" fillId="48" borderId="28" xfId="0" applyFont="1" applyFill="1" applyBorder="1" applyAlignment="1" applyProtection="1">
      <alignment horizontal="center" vertical="top"/>
    </xf>
    <xf numFmtId="0" fontId="46" fillId="48" borderId="28" xfId="0" quotePrefix="1" applyFont="1" applyFill="1" applyBorder="1" applyAlignment="1" applyProtection="1">
      <alignment vertical="top"/>
    </xf>
    <xf numFmtId="0" fontId="46" fillId="48" borderId="112" xfId="0" quotePrefix="1" applyFont="1" applyFill="1" applyBorder="1" applyAlignment="1" applyProtection="1">
      <alignment vertical="top"/>
    </xf>
    <xf numFmtId="0" fontId="46" fillId="48" borderId="104" xfId="0" applyFont="1" applyFill="1" applyBorder="1" applyAlignment="1" applyProtection="1">
      <alignment vertical="top"/>
    </xf>
    <xf numFmtId="0" fontId="0" fillId="48" borderId="104" xfId="0" applyFill="1" applyBorder="1"/>
    <xf numFmtId="0" fontId="19" fillId="48" borderId="28" xfId="0" applyFont="1" applyFill="1" applyBorder="1" applyAlignment="1" applyProtection="1">
      <alignment horizontal="center" vertical="top"/>
    </xf>
    <xf numFmtId="0" fontId="46" fillId="48" borderId="28" xfId="0" applyFont="1" applyFill="1" applyBorder="1" applyAlignment="1" applyProtection="1">
      <alignment vertical="top"/>
    </xf>
    <xf numFmtId="0" fontId="51" fillId="48" borderId="112" xfId="0" applyFont="1" applyFill="1" applyBorder="1" applyAlignment="1" applyProtection="1">
      <alignment horizontal="left" vertical="top" indent="3"/>
    </xf>
    <xf numFmtId="0" fontId="18" fillId="48" borderId="28" xfId="0" quotePrefix="1" applyFont="1" applyFill="1" applyBorder="1" applyAlignment="1" applyProtection="1">
      <alignment horizontal="center" vertical="center"/>
    </xf>
    <xf numFmtId="0" fontId="54" fillId="48" borderId="112" xfId="0" quotePrefix="1" applyFont="1" applyFill="1" applyBorder="1" applyAlignment="1" applyProtection="1">
      <alignment horizontal="left" vertical="top" indent="4"/>
    </xf>
    <xf numFmtId="0" fontId="55" fillId="48" borderId="104" xfId="0" applyFont="1" applyFill="1" applyBorder="1" applyAlignment="1" applyProtection="1">
      <alignment vertical="top"/>
    </xf>
    <xf numFmtId="0" fontId="55" fillId="48" borderId="82" xfId="0" applyFont="1" applyFill="1" applyBorder="1" applyAlignment="1" applyProtection="1">
      <alignment vertical="top"/>
    </xf>
    <xf numFmtId="0" fontId="18" fillId="48" borderId="33" xfId="0" applyFont="1" applyFill="1" applyBorder="1" applyAlignment="1" applyProtection="1">
      <alignment horizontal="center" vertical="top"/>
    </xf>
    <xf numFmtId="0" fontId="46" fillId="48" borderId="33" xfId="0" quotePrefix="1" applyFont="1" applyFill="1" applyBorder="1" applyAlignment="1" applyProtection="1">
      <alignment vertical="top"/>
    </xf>
    <xf numFmtId="0" fontId="46" fillId="48" borderId="31" xfId="0" quotePrefix="1" applyFont="1" applyFill="1" applyBorder="1" applyAlignment="1" applyProtection="1">
      <alignment vertical="top"/>
    </xf>
    <xf numFmtId="0" fontId="46" fillId="48" borderId="35" xfId="0" applyFont="1" applyFill="1" applyBorder="1" applyAlignment="1" applyProtection="1">
      <alignment vertical="top"/>
    </xf>
    <xf numFmtId="0" fontId="0" fillId="48" borderId="35" xfId="0" applyFill="1" applyBorder="1"/>
    <xf numFmtId="0" fontId="0" fillId="48" borderId="85" xfId="0" applyFill="1" applyBorder="1"/>
    <xf numFmtId="0" fontId="41" fillId="59" borderId="113" xfId="0" applyFont="1" applyFill="1" applyBorder="1" applyProtection="1"/>
    <xf numFmtId="0" fontId="42" fillId="59" borderId="114" xfId="0" applyFont="1" applyFill="1" applyBorder="1" applyProtection="1"/>
    <xf numFmtId="0" fontId="18" fillId="48" borderId="28" xfId="0" quotePrefix="1" applyFont="1" applyFill="1" applyBorder="1" applyAlignment="1" applyProtection="1">
      <alignment horizontal="center" vertical="top"/>
    </xf>
    <xf numFmtId="0" fontId="0" fillId="48" borderId="82" xfId="0" applyFill="1" applyBorder="1"/>
    <xf numFmtId="0" fontId="32" fillId="59" borderId="114" xfId="0" applyFont="1" applyFill="1" applyBorder="1"/>
    <xf numFmtId="0" fontId="32" fillId="59" borderId="115" xfId="0" applyFont="1" applyFill="1" applyBorder="1"/>
    <xf numFmtId="0" fontId="46" fillId="48" borderId="52" xfId="0" quotePrefix="1" applyFont="1" applyFill="1" applyBorder="1" applyAlignment="1" applyProtection="1">
      <alignment vertical="top"/>
    </xf>
    <xf numFmtId="0" fontId="46" fillId="48" borderId="117" xfId="0" quotePrefix="1" applyFont="1" applyFill="1" applyBorder="1" applyAlignment="1" applyProtection="1">
      <alignment vertical="top"/>
    </xf>
    <xf numFmtId="0" fontId="46" fillId="48" borderId="118" xfId="0" applyFont="1" applyFill="1" applyBorder="1" applyAlignment="1" applyProtection="1">
      <alignment vertical="top"/>
    </xf>
    <xf numFmtId="0" fontId="0" fillId="48" borderId="118" xfId="0" applyFill="1" applyBorder="1"/>
    <xf numFmtId="0" fontId="0" fillId="48" borderId="119" xfId="0" applyFill="1" applyBorder="1"/>
    <xf numFmtId="0" fontId="18" fillId="48" borderId="92" xfId="0" applyFont="1" applyFill="1" applyBorder="1" applyAlignment="1" applyProtection="1">
      <alignment horizontal="left" vertical="top" indent="2"/>
    </xf>
    <xf numFmtId="0" fontId="18" fillId="48" borderId="52" xfId="0" applyFont="1" applyFill="1" applyBorder="1" applyAlignment="1" applyProtection="1">
      <alignment horizontal="center" vertical="top"/>
    </xf>
    <xf numFmtId="0" fontId="18" fillId="48" borderId="27" xfId="0" applyFont="1" applyFill="1" applyBorder="1" applyAlignment="1" applyProtection="1">
      <alignment horizontal="left" vertical="top" indent="2"/>
    </xf>
    <xf numFmtId="0" fontId="46" fillId="48" borderId="125" xfId="0" quotePrefix="1" applyFont="1" applyFill="1" applyBorder="1" applyAlignment="1" applyProtection="1">
      <alignment vertical="top"/>
    </xf>
    <xf numFmtId="0" fontId="46" fillId="48" borderId="126" xfId="0" quotePrefix="1" applyFont="1" applyFill="1" applyBorder="1" applyAlignment="1" applyProtection="1">
      <alignment vertical="top"/>
    </xf>
    <xf numFmtId="0" fontId="46" fillId="48" borderId="128" xfId="0" quotePrefix="1" applyFont="1" applyFill="1" applyBorder="1" applyAlignment="1" applyProtection="1">
      <alignment vertical="top"/>
    </xf>
    <xf numFmtId="0" fontId="46" fillId="48" borderId="108" xfId="0" applyFont="1" applyFill="1" applyBorder="1" applyAlignment="1" applyProtection="1">
      <alignment vertical="top"/>
    </xf>
    <xf numFmtId="0" fontId="58" fillId="48" borderId="116" xfId="0" applyFont="1" applyFill="1" applyBorder="1" applyAlignment="1" applyProtection="1">
      <alignment horizontal="left" vertical="top" indent="1"/>
    </xf>
    <xf numFmtId="0" fontId="18" fillId="48" borderId="0" xfId="0" applyFont="1" applyFill="1" applyBorder="1" applyAlignment="1" applyProtection="1">
      <alignment horizontal="center" vertical="top" wrapText="1"/>
    </xf>
    <xf numFmtId="0" fontId="46" fillId="48" borderId="125" xfId="0" quotePrefix="1" applyFont="1" applyFill="1" applyBorder="1" applyAlignment="1" applyProtection="1">
      <alignment horizontal="left" vertical="top" indent="1"/>
    </xf>
    <xf numFmtId="0" fontId="46" fillId="48" borderId="125" xfId="0" quotePrefix="1" applyFont="1" applyFill="1" applyBorder="1" applyAlignment="1" applyProtection="1">
      <alignment horizontal="left" vertical="top"/>
    </xf>
    <xf numFmtId="0" fontId="58" fillId="48" borderId="116" xfId="0" applyFont="1" applyFill="1" applyBorder="1" applyAlignment="1" applyProtection="1">
      <alignment horizontal="left" vertical="top" indent="2"/>
    </xf>
    <xf numFmtId="0" fontId="46" fillId="48" borderId="126" xfId="0" quotePrefix="1" applyFont="1" applyFill="1" applyBorder="1" applyAlignment="1" applyProtection="1">
      <alignment horizontal="left" vertical="top"/>
    </xf>
    <xf numFmtId="0" fontId="19" fillId="48" borderId="52" xfId="0" quotePrefix="1" applyFont="1" applyFill="1" applyBorder="1" applyAlignment="1" applyProtection="1">
      <alignment horizontal="center" wrapText="1"/>
    </xf>
    <xf numFmtId="0" fontId="59" fillId="48" borderId="116" xfId="0" applyFont="1" applyFill="1" applyBorder="1" applyAlignment="1" applyProtection="1">
      <alignment horizontal="left" vertical="top" indent="2"/>
    </xf>
    <xf numFmtId="0" fontId="59" fillId="48" borderId="127" xfId="0" applyFont="1" applyFill="1" applyBorder="1" applyAlignment="1" applyProtection="1">
      <alignment horizontal="left" vertical="top" indent="2"/>
    </xf>
    <xf numFmtId="0" fontId="19" fillId="48" borderId="128" xfId="0" quotePrefix="1" applyFont="1" applyFill="1" applyBorder="1" applyAlignment="1" applyProtection="1">
      <alignment horizontal="center" wrapText="1"/>
    </xf>
    <xf numFmtId="0" fontId="46" fillId="48" borderId="128" xfId="0" quotePrefix="1" applyFont="1" applyFill="1" applyBorder="1" applyAlignment="1" applyProtection="1">
      <alignment horizontal="left" vertical="top" indent="1"/>
    </xf>
    <xf numFmtId="0" fontId="46" fillId="48" borderId="129" xfId="0" quotePrefix="1" applyFont="1" applyFill="1" applyBorder="1" applyAlignment="1" applyProtection="1">
      <alignment horizontal="left" vertical="top"/>
    </xf>
    <xf numFmtId="0" fontId="46" fillId="48" borderId="109" xfId="0" applyFont="1" applyFill="1" applyBorder="1" applyAlignment="1" applyProtection="1">
      <alignment vertical="top"/>
    </xf>
    <xf numFmtId="0" fontId="59" fillId="48" borderId="116" xfId="0" applyFont="1" applyFill="1" applyBorder="1" applyAlignment="1" applyProtection="1">
      <alignment horizontal="left" vertical="top" indent="1"/>
    </xf>
    <xf numFmtId="0" fontId="18" fillId="48" borderId="125" xfId="0" applyFont="1" applyFill="1" applyBorder="1" applyAlignment="1" applyProtection="1">
      <alignment horizontal="center" vertical="top"/>
    </xf>
    <xf numFmtId="0" fontId="20" fillId="48" borderId="0" xfId="0" applyFont="1" applyFill="1" applyBorder="1" applyAlignment="1" applyProtection="1">
      <alignment vertical="top"/>
    </xf>
    <xf numFmtId="0" fontId="20" fillId="48" borderId="38" xfId="0" applyFont="1" applyFill="1" applyBorder="1" applyAlignment="1" applyProtection="1">
      <alignment vertical="top"/>
    </xf>
    <xf numFmtId="0" fontId="60" fillId="48" borderId="125" xfId="0" applyFont="1" applyFill="1" applyBorder="1" applyAlignment="1" applyProtection="1">
      <alignment horizontal="center" vertical="top" wrapText="1"/>
    </xf>
    <xf numFmtId="0" fontId="60" fillId="48" borderId="125" xfId="0" quotePrefix="1" applyFont="1" applyFill="1" applyBorder="1" applyAlignment="1" applyProtection="1">
      <alignment horizontal="left" vertical="top" indent="1"/>
    </xf>
    <xf numFmtId="0" fontId="62" fillId="48" borderId="126" xfId="0" quotePrefix="1" applyFont="1" applyFill="1" applyBorder="1" applyAlignment="1" applyProtection="1">
      <alignment horizontal="left" vertical="top" indent="2"/>
    </xf>
    <xf numFmtId="0" fontId="63" fillId="48" borderId="0" xfId="0" applyFont="1" applyFill="1" applyBorder="1" applyAlignment="1" applyProtection="1">
      <alignment vertical="top"/>
    </xf>
    <xf numFmtId="0" fontId="60" fillId="48" borderId="126" xfId="0" quotePrefix="1" applyFont="1" applyFill="1" applyBorder="1" applyAlignment="1" applyProtection="1">
      <alignment horizontal="left" vertical="top"/>
    </xf>
    <xf numFmtId="0" fontId="59" fillId="48" borderId="116" xfId="0" applyFont="1" applyFill="1" applyBorder="1" applyAlignment="1" applyProtection="1">
      <alignment horizontal="left" vertical="top" indent="4"/>
    </xf>
    <xf numFmtId="14" fontId="18" fillId="48" borderId="125" xfId="0" quotePrefix="1" applyNumberFormat="1" applyFont="1" applyFill="1" applyBorder="1" applyAlignment="1" applyProtection="1">
      <alignment horizontal="center" vertical="top" wrapText="1"/>
    </xf>
    <xf numFmtId="0" fontId="46" fillId="48" borderId="126" xfId="0" quotePrefix="1" applyFont="1" applyFill="1" applyBorder="1" applyAlignment="1" applyProtection="1">
      <alignment horizontal="center" vertical="center"/>
    </xf>
    <xf numFmtId="0" fontId="59" fillId="48" borderId="130" xfId="0" applyFont="1" applyFill="1" applyBorder="1" applyAlignment="1" applyProtection="1">
      <alignment horizontal="left" vertical="top" indent="2"/>
    </xf>
    <xf numFmtId="0" fontId="21" fillId="48" borderId="131" xfId="0" quotePrefix="1" applyFont="1" applyFill="1" applyBorder="1" applyAlignment="1" applyProtection="1">
      <alignment horizontal="center" vertical="top"/>
    </xf>
    <xf numFmtId="0" fontId="46" fillId="48" borderId="131" xfId="0" quotePrefix="1" applyFont="1" applyFill="1" applyBorder="1" applyAlignment="1" applyProtection="1">
      <alignment vertical="top"/>
    </xf>
    <xf numFmtId="0" fontId="46" fillId="48" borderId="132" xfId="0" quotePrefix="1" applyFont="1" applyFill="1" applyBorder="1" applyAlignment="1" applyProtection="1">
      <alignment horizontal="left" vertical="top"/>
    </xf>
    <xf numFmtId="0" fontId="20" fillId="48" borderId="133" xfId="0" applyFont="1" applyFill="1" applyBorder="1" applyAlignment="1" applyProtection="1">
      <alignment vertical="top"/>
    </xf>
    <xf numFmtId="0" fontId="20" fillId="48" borderId="134" xfId="0" applyFont="1" applyFill="1" applyBorder="1" applyAlignment="1" applyProtection="1">
      <alignment vertical="top"/>
    </xf>
    <xf numFmtId="0" fontId="58" fillId="48" borderId="116" xfId="0" applyFont="1" applyFill="1" applyBorder="1" applyAlignment="1" applyProtection="1">
      <alignment horizontal="left"/>
    </xf>
    <xf numFmtId="0" fontId="40" fillId="48" borderId="125" xfId="0" quotePrefix="1" applyFont="1" applyFill="1" applyBorder="1" applyAlignment="1" applyProtection="1">
      <alignment horizontal="left"/>
    </xf>
    <xf numFmtId="0" fontId="46" fillId="48" borderId="125" xfId="0" quotePrefix="1" applyFont="1" applyFill="1" applyBorder="1" applyAlignment="1" applyProtection="1"/>
    <xf numFmtId="0" fontId="46" fillId="48" borderId="126" xfId="0" quotePrefix="1" applyFont="1" applyFill="1" applyBorder="1" applyAlignment="1" applyProtection="1">
      <alignment horizontal="left"/>
    </xf>
    <xf numFmtId="0" fontId="20" fillId="48" borderId="0" xfId="0" applyFont="1" applyFill="1" applyBorder="1" applyAlignment="1" applyProtection="1"/>
    <xf numFmtId="0" fontId="20" fillId="48" borderId="38" xfId="0" applyFont="1" applyFill="1" applyBorder="1" applyAlignment="1" applyProtection="1"/>
    <xf numFmtId="0" fontId="0" fillId="0" borderId="0" xfId="0" applyAlignment="1"/>
    <xf numFmtId="0" fontId="20" fillId="51" borderId="0" xfId="0" applyFont="1" applyFill="1" applyAlignment="1" applyProtection="1"/>
    <xf numFmtId="0" fontId="21" fillId="48" borderId="125" xfId="0" quotePrefix="1" applyFont="1" applyFill="1" applyBorder="1" applyAlignment="1" applyProtection="1">
      <alignment horizontal="center" vertical="top"/>
    </xf>
    <xf numFmtId="0" fontId="0" fillId="0" borderId="0" xfId="0" quotePrefix="1" applyAlignment="1">
      <alignment horizontal="left"/>
    </xf>
    <xf numFmtId="0" fontId="18" fillId="48" borderId="128" xfId="0" quotePrefix="1" applyFont="1" applyFill="1" applyBorder="1" applyAlignment="1" applyProtection="1">
      <alignment horizontal="center" vertical="top"/>
    </xf>
    <xf numFmtId="0" fontId="46" fillId="48" borderId="121" xfId="0" quotePrefix="1" applyFont="1" applyFill="1" applyBorder="1" applyAlignment="1" applyProtection="1">
      <alignment horizontal="left" vertical="top"/>
    </xf>
    <xf numFmtId="0" fontId="20" fillId="48" borderId="108" xfId="0" applyFont="1" applyFill="1" applyBorder="1" applyAlignment="1" applyProtection="1">
      <alignment vertical="top"/>
    </xf>
    <xf numFmtId="0" fontId="20" fillId="48" borderId="109" xfId="0" applyFont="1" applyFill="1" applyBorder="1" applyAlignment="1" applyProtection="1">
      <alignment vertical="top"/>
    </xf>
    <xf numFmtId="0" fontId="18" fillId="48" borderId="125" xfId="0" quotePrefix="1" applyFont="1" applyFill="1" applyBorder="1" applyAlignment="1" applyProtection="1">
      <alignment horizontal="center" vertical="top"/>
    </xf>
    <xf numFmtId="0" fontId="60" fillId="48" borderId="125" xfId="0" quotePrefix="1" applyFont="1" applyFill="1" applyBorder="1" applyAlignment="1" applyProtection="1">
      <alignment horizontal="left" vertical="top" indent="3"/>
    </xf>
    <xf numFmtId="0" fontId="59" fillId="48" borderId="135" xfId="0" applyFont="1" applyFill="1" applyBorder="1" applyAlignment="1" applyProtection="1">
      <alignment horizontal="left" vertical="top" indent="2"/>
    </xf>
    <xf numFmtId="0" fontId="18" fillId="48" borderId="136" xfId="0" quotePrefix="1" applyFont="1" applyFill="1" applyBorder="1" applyAlignment="1" applyProtection="1">
      <alignment horizontal="center" vertical="top"/>
    </xf>
    <xf numFmtId="0" fontId="46" fillId="48" borderId="136" xfId="0" quotePrefix="1" applyFont="1" applyFill="1" applyBorder="1" applyAlignment="1" applyProtection="1">
      <alignment vertical="top"/>
    </xf>
    <xf numFmtId="0" fontId="46" fillId="48" borderId="136" xfId="0" quotePrefix="1" applyFont="1" applyFill="1" applyBorder="1" applyAlignment="1" applyProtection="1">
      <alignment horizontal="left" vertical="top"/>
    </xf>
    <xf numFmtId="0" fontId="20" fillId="48" borderId="14" xfId="0" applyFont="1" applyFill="1" applyBorder="1" applyAlignment="1" applyProtection="1">
      <alignment vertical="top"/>
    </xf>
    <xf numFmtId="0" fontId="20" fillId="48" borderId="15" xfId="0" applyFont="1" applyFill="1" applyBorder="1" applyAlignment="1" applyProtection="1">
      <alignment vertical="top"/>
    </xf>
    <xf numFmtId="0" fontId="58" fillId="48" borderId="137" xfId="0" applyFont="1" applyFill="1" applyBorder="1" applyAlignment="1" applyProtection="1">
      <alignment horizontal="left" vertical="top" indent="1"/>
    </xf>
    <xf numFmtId="0" fontId="20" fillId="48" borderId="138" xfId="0" applyFont="1" applyFill="1" applyBorder="1" applyAlignment="1" applyProtection="1">
      <alignment vertical="top"/>
    </xf>
    <xf numFmtId="0" fontId="20" fillId="48" borderId="139" xfId="0" applyFont="1" applyFill="1" applyBorder="1" applyAlignment="1" applyProtection="1">
      <alignment vertical="top"/>
    </xf>
    <xf numFmtId="0" fontId="51" fillId="48" borderId="126" xfId="0" applyFont="1" applyFill="1" applyBorder="1" applyAlignment="1" applyProtection="1">
      <alignment horizontal="left" vertical="top" indent="3"/>
    </xf>
    <xf numFmtId="0" fontId="46" fillId="48" borderId="126" xfId="0" quotePrefix="1" applyFont="1" applyFill="1" applyBorder="1" applyAlignment="1" applyProtection="1">
      <alignment horizontal="center" vertical="top"/>
    </xf>
    <xf numFmtId="0" fontId="46" fillId="48" borderId="140" xfId="0" quotePrefix="1" applyFont="1" applyFill="1" applyBorder="1" applyAlignment="1" applyProtection="1">
      <alignment horizontal="center" vertical="top"/>
    </xf>
    <xf numFmtId="0" fontId="46" fillId="48" borderId="140" xfId="0" quotePrefix="1" applyFont="1" applyFill="1" applyBorder="1" applyAlignment="1" applyProtection="1">
      <alignment horizontal="left" vertical="top"/>
    </xf>
    <xf numFmtId="0" fontId="46" fillId="48" borderId="14" xfId="0" quotePrefix="1" applyFont="1" applyFill="1" applyBorder="1" applyAlignment="1" applyProtection="1">
      <alignment horizontal="left" vertical="top" indent="1"/>
    </xf>
    <xf numFmtId="0" fontId="19" fillId="48" borderId="125" xfId="0" quotePrefix="1" applyFont="1" applyFill="1" applyBorder="1" applyAlignment="1" applyProtection="1">
      <alignment horizontal="center" vertical="top"/>
    </xf>
    <xf numFmtId="0" fontId="46" fillId="48" borderId="0" xfId="0" quotePrefix="1" applyFont="1" applyFill="1" applyBorder="1" applyAlignment="1" applyProtection="1">
      <alignment horizontal="left" vertical="top" indent="1"/>
    </xf>
    <xf numFmtId="0" fontId="64" fillId="48" borderId="126" xfId="0" quotePrefix="1" applyFont="1" applyFill="1" applyBorder="1" applyAlignment="1" applyProtection="1">
      <alignment vertical="top"/>
    </xf>
    <xf numFmtId="0" fontId="26" fillId="48" borderId="28" xfId="0" quotePrefix="1" applyFont="1" applyFill="1" applyBorder="1" applyAlignment="1" applyProtection="1">
      <alignment horizontal="center" vertical="center"/>
    </xf>
    <xf numFmtId="0" fontId="55" fillId="48" borderId="112" xfId="0" quotePrefix="1" applyFont="1" applyFill="1" applyBorder="1" applyAlignment="1" applyProtection="1">
      <alignment vertical="top"/>
    </xf>
    <xf numFmtId="0" fontId="18" fillId="48" borderId="141" xfId="0" applyFont="1" applyFill="1" applyBorder="1" applyAlignment="1" applyProtection="1">
      <alignment vertical="top"/>
    </xf>
    <xf numFmtId="0" fontId="18" fillId="48" borderId="142" xfId="0" applyFont="1" applyFill="1" applyBorder="1" applyAlignment="1" applyProtection="1">
      <alignment horizontal="center" vertical="top"/>
    </xf>
    <xf numFmtId="0" fontId="46" fillId="48" borderId="142" xfId="0" quotePrefix="1" applyFont="1" applyFill="1" applyBorder="1" applyAlignment="1" applyProtection="1">
      <alignment horizontal="left" vertical="top"/>
    </xf>
    <xf numFmtId="0" fontId="20" fillId="48" borderId="143" xfId="0" applyFont="1" applyFill="1" applyBorder="1" applyAlignment="1" applyProtection="1">
      <alignment vertical="top"/>
    </xf>
    <xf numFmtId="0" fontId="20" fillId="48" borderId="144" xfId="0" applyFont="1" applyFill="1" applyBorder="1" applyAlignment="1" applyProtection="1">
      <alignment vertical="top"/>
    </xf>
    <xf numFmtId="0" fontId="20" fillId="48" borderId="145" xfId="0" applyFont="1" applyFill="1" applyBorder="1" applyAlignment="1" applyProtection="1">
      <alignment vertical="top"/>
    </xf>
    <xf numFmtId="0" fontId="18" fillId="48" borderId="146" xfId="0" applyFont="1" applyFill="1" applyBorder="1" applyAlignment="1" applyProtection="1">
      <alignment vertical="top"/>
    </xf>
    <xf numFmtId="0" fontId="18" fillId="48" borderId="147" xfId="0" quotePrefix="1" applyFont="1" applyFill="1" applyBorder="1" applyAlignment="1" applyProtection="1">
      <alignment horizontal="center" vertical="top"/>
    </xf>
    <xf numFmtId="0" fontId="46" fillId="48" borderId="147" xfId="0" quotePrefix="1" applyFont="1" applyFill="1" applyBorder="1" applyAlignment="1" applyProtection="1">
      <alignment horizontal="left" vertical="top"/>
    </xf>
    <xf numFmtId="0" fontId="46" fillId="48" borderId="148" xfId="0" quotePrefix="1" applyFont="1" applyFill="1" applyBorder="1" applyAlignment="1" applyProtection="1">
      <alignment vertical="top"/>
    </xf>
    <xf numFmtId="0" fontId="20" fillId="48" borderId="99" xfId="0" applyFont="1" applyFill="1" applyBorder="1" applyAlignment="1" applyProtection="1">
      <alignment vertical="top"/>
    </xf>
    <xf numFmtId="0" fontId="20" fillId="48" borderId="149" xfId="0" applyFont="1" applyFill="1" applyBorder="1" applyAlignment="1" applyProtection="1">
      <alignment vertical="top"/>
    </xf>
    <xf numFmtId="0" fontId="46" fillId="48" borderId="52" xfId="0" applyFont="1" applyFill="1" applyBorder="1" applyAlignment="1" applyProtection="1">
      <alignment vertical="top"/>
    </xf>
    <xf numFmtId="0" fontId="46" fillId="48" borderId="150" xfId="0" applyFont="1" applyFill="1" applyBorder="1" applyAlignment="1" applyProtection="1">
      <alignment vertical="top"/>
    </xf>
    <xf numFmtId="0" fontId="46" fillId="48" borderId="29" xfId="0" applyFont="1" applyFill="1" applyBorder="1" applyAlignment="1" applyProtection="1">
      <alignment vertical="top"/>
    </xf>
    <xf numFmtId="0" fontId="18" fillId="48" borderId="151" xfId="0" applyFont="1" applyFill="1" applyBorder="1" applyAlignment="1" applyProtection="1">
      <alignment horizontal="left" vertical="top" indent="2"/>
    </xf>
    <xf numFmtId="0" fontId="18" fillId="48" borderId="152" xfId="0" applyFont="1" applyFill="1" applyBorder="1" applyAlignment="1" applyProtection="1">
      <alignment horizontal="center" vertical="top"/>
    </xf>
    <xf numFmtId="0" fontId="46" fillId="48" borderId="152" xfId="0" quotePrefix="1" applyFont="1" applyFill="1" applyBorder="1" applyAlignment="1" applyProtection="1">
      <alignment vertical="top"/>
    </xf>
    <xf numFmtId="0" fontId="46" fillId="48" borderId="152" xfId="0" applyFont="1" applyFill="1" applyBorder="1" applyAlignment="1" applyProtection="1">
      <alignment vertical="top"/>
    </xf>
    <xf numFmtId="0" fontId="46" fillId="48" borderId="153" xfId="0" applyFont="1" applyFill="1" applyBorder="1" applyAlignment="1" applyProtection="1">
      <alignment vertical="top"/>
    </xf>
    <xf numFmtId="0" fontId="18" fillId="48" borderId="135" xfId="0" applyFont="1" applyFill="1" applyBorder="1" applyAlignment="1" applyProtection="1">
      <alignment horizontal="left" vertical="top" indent="2"/>
    </xf>
    <xf numFmtId="0" fontId="18" fillId="48" borderId="136" xfId="0" applyFont="1" applyFill="1" applyBorder="1" applyAlignment="1" applyProtection="1">
      <alignment horizontal="center" vertical="top"/>
    </xf>
    <xf numFmtId="0" fontId="46" fillId="48" borderId="136" xfId="0" applyFont="1" applyFill="1" applyBorder="1" applyAlignment="1" applyProtection="1">
      <alignment vertical="top"/>
    </xf>
    <xf numFmtId="0" fontId="46" fillId="48" borderId="154" xfId="0" applyFont="1" applyFill="1" applyBorder="1" applyAlignment="1" applyProtection="1">
      <alignment vertical="top"/>
    </xf>
    <xf numFmtId="0" fontId="18" fillId="48" borderId="90" xfId="0" applyFont="1" applyFill="1" applyBorder="1" applyAlignment="1" applyProtection="1">
      <alignment vertical="top"/>
    </xf>
    <xf numFmtId="0" fontId="26" fillId="48" borderId="95" xfId="0" quotePrefix="1" applyFont="1" applyFill="1" applyBorder="1" applyAlignment="1" applyProtection="1">
      <alignment horizontal="center" vertical="center"/>
    </xf>
    <xf numFmtId="0" fontId="46" fillId="48" borderId="95" xfId="0" quotePrefix="1" applyFont="1" applyFill="1" applyBorder="1" applyAlignment="1" applyProtection="1">
      <alignment vertical="top"/>
    </xf>
    <xf numFmtId="0" fontId="54" fillId="48" borderId="155" xfId="0" quotePrefix="1" applyFont="1" applyFill="1" applyBorder="1" applyAlignment="1" applyProtection="1">
      <alignment vertical="top"/>
    </xf>
    <xf numFmtId="0" fontId="55" fillId="48" borderId="18" xfId="0" applyFont="1" applyFill="1" applyBorder="1" applyAlignment="1" applyProtection="1">
      <alignment vertical="top"/>
    </xf>
    <xf numFmtId="0" fontId="55" fillId="48" borderId="19" xfId="0" applyFont="1" applyFill="1" applyBorder="1" applyAlignment="1" applyProtection="1">
      <alignment vertical="top"/>
    </xf>
    <xf numFmtId="0" fontId="65" fillId="34" borderId="0" xfId="0" applyFont="1" applyFill="1" applyProtection="1"/>
    <xf numFmtId="0" fontId="66" fillId="34" borderId="0" xfId="0" applyFont="1" applyFill="1" applyAlignment="1" applyProtection="1">
      <alignment horizontal="center"/>
    </xf>
    <xf numFmtId="0" fontId="67" fillId="34" borderId="0" xfId="0" quotePrefix="1" applyFont="1" applyFill="1"/>
    <xf numFmtId="0" fontId="20" fillId="34" borderId="0" xfId="0" applyFont="1" applyFill="1" applyProtection="1"/>
    <xf numFmtId="0" fontId="42" fillId="59" borderId="48" xfId="0" applyFont="1" applyFill="1" applyBorder="1" applyProtection="1"/>
    <xf numFmtId="0" fontId="18" fillId="64" borderId="50" xfId="0" applyFont="1" applyFill="1" applyBorder="1" applyAlignment="1" applyProtection="1">
      <alignment vertical="top"/>
    </xf>
    <xf numFmtId="0" fontId="68" fillId="64" borderId="51" xfId="0" quotePrefix="1" applyFont="1" applyFill="1" applyBorder="1" applyAlignment="1" applyProtection="1">
      <alignment vertical="top"/>
    </xf>
    <xf numFmtId="0" fontId="43" fillId="64" borderId="51" xfId="0" quotePrefix="1" applyFont="1" applyFill="1" applyBorder="1" applyAlignment="1" applyProtection="1">
      <alignment vertical="top"/>
    </xf>
    <xf numFmtId="0" fontId="43" fillId="64" borderId="51" xfId="0" applyFont="1" applyFill="1" applyBorder="1" applyAlignment="1" applyProtection="1">
      <alignment vertical="top"/>
    </xf>
    <xf numFmtId="0" fontId="43" fillId="64" borderId="157" xfId="0" applyFont="1" applyFill="1" applyBorder="1" applyAlignment="1" applyProtection="1">
      <alignment vertical="top"/>
    </xf>
    <xf numFmtId="0" fontId="18" fillId="64" borderId="56" xfId="0" applyFont="1" applyFill="1" applyBorder="1" applyAlignment="1" applyProtection="1">
      <alignment horizontal="left" vertical="top" indent="2"/>
    </xf>
    <xf numFmtId="0" fontId="19" fillId="64" borderId="57" xfId="0" applyFont="1" applyFill="1" applyBorder="1" applyAlignment="1" applyProtection="1">
      <alignment horizontal="center" vertical="top"/>
    </xf>
    <xf numFmtId="0" fontId="19" fillId="64" borderId="57" xfId="0" quotePrefix="1" applyFont="1" applyFill="1" applyBorder="1" applyAlignment="1" applyProtection="1">
      <alignment vertical="top"/>
    </xf>
    <xf numFmtId="0" fontId="18" fillId="64" borderId="57" xfId="0" quotePrefix="1" applyFont="1" applyFill="1" applyBorder="1" applyAlignment="1" applyProtection="1">
      <alignment vertical="top"/>
    </xf>
    <xf numFmtId="0" fontId="18" fillId="64" borderId="57" xfId="0" applyFont="1" applyFill="1" applyBorder="1" applyAlignment="1" applyProtection="1">
      <alignment vertical="top"/>
    </xf>
    <xf numFmtId="0" fontId="18" fillId="64" borderId="158" xfId="0" applyFont="1" applyFill="1" applyBorder="1" applyAlignment="1" applyProtection="1">
      <alignment vertical="top"/>
    </xf>
    <xf numFmtId="0" fontId="18" fillId="64" borderId="57" xfId="0" applyFont="1" applyFill="1" applyBorder="1" applyAlignment="1" applyProtection="1">
      <alignment horizontal="center" vertical="top"/>
    </xf>
    <xf numFmtId="0" fontId="68" fillId="64" borderId="57" xfId="0" quotePrefix="1" applyFont="1" applyFill="1" applyBorder="1" applyAlignment="1" applyProtection="1">
      <alignment vertical="top"/>
    </xf>
    <xf numFmtId="0" fontId="43" fillId="64" borderId="57" xfId="0" quotePrefix="1" applyFont="1" applyFill="1" applyBorder="1" applyAlignment="1" applyProtection="1">
      <alignment vertical="top"/>
    </xf>
    <xf numFmtId="0" fontId="43" fillId="64" borderId="57" xfId="0" applyFont="1" applyFill="1" applyBorder="1" applyAlignment="1" applyProtection="1">
      <alignment vertical="top"/>
    </xf>
    <xf numFmtId="0" fontId="43" fillId="64" borderId="158" xfId="0" applyFont="1" applyFill="1" applyBorder="1" applyAlignment="1" applyProtection="1">
      <alignment vertical="top"/>
    </xf>
    <xf numFmtId="0" fontId="18" fillId="64" borderId="159" xfId="0" applyFont="1" applyFill="1" applyBorder="1" applyAlignment="1" applyProtection="1">
      <alignment horizontal="left" vertical="top" indent="2"/>
    </xf>
    <xf numFmtId="0" fontId="18" fillId="64" borderId="160" xfId="0" applyFont="1" applyFill="1" applyBorder="1" applyAlignment="1" applyProtection="1">
      <alignment horizontal="center" vertical="top"/>
    </xf>
    <xf numFmtId="0" fontId="68" fillId="64" borderId="160" xfId="0" quotePrefix="1" applyFont="1" applyFill="1" applyBorder="1" applyAlignment="1" applyProtection="1">
      <alignment vertical="top"/>
    </xf>
    <xf numFmtId="0" fontId="43" fillId="64" borderId="160" xfId="0" quotePrefix="1" applyFont="1" applyFill="1" applyBorder="1" applyAlignment="1" applyProtection="1">
      <alignment vertical="top"/>
    </xf>
    <xf numFmtId="0" fontId="43" fillId="64" borderId="160" xfId="0" applyFont="1" applyFill="1" applyBorder="1" applyAlignment="1" applyProtection="1">
      <alignment vertical="top"/>
    </xf>
    <xf numFmtId="0" fontId="43" fillId="64" borderId="161" xfId="0" applyFont="1" applyFill="1" applyBorder="1" applyAlignment="1" applyProtection="1">
      <alignment vertical="top"/>
    </xf>
    <xf numFmtId="0" fontId="18" fillId="64" borderId="63" xfId="0" applyFont="1" applyFill="1" applyBorder="1" applyAlignment="1" applyProtection="1">
      <alignment horizontal="left" vertical="top" indent="2"/>
    </xf>
    <xf numFmtId="0" fontId="18" fillId="64" borderId="64" xfId="0" applyFont="1" applyFill="1" applyBorder="1" applyAlignment="1" applyProtection="1">
      <alignment horizontal="center" vertical="top"/>
    </xf>
    <xf numFmtId="0" fontId="68" fillId="64" borderId="64" xfId="0" quotePrefix="1" applyFont="1" applyFill="1" applyBorder="1" applyAlignment="1" applyProtection="1">
      <alignment vertical="top"/>
    </xf>
    <xf numFmtId="0" fontId="43" fillId="64" borderId="64" xfId="0" quotePrefix="1" applyFont="1" applyFill="1" applyBorder="1" applyAlignment="1" applyProtection="1">
      <alignment vertical="top"/>
    </xf>
    <xf numFmtId="0" fontId="43" fillId="64" borderId="64" xfId="0" applyFont="1" applyFill="1" applyBorder="1" applyAlignment="1" applyProtection="1">
      <alignment vertical="top"/>
    </xf>
    <xf numFmtId="0" fontId="43" fillId="64" borderId="162" xfId="0" applyFont="1" applyFill="1" applyBorder="1" applyAlignment="1" applyProtection="1">
      <alignment vertical="top"/>
    </xf>
    <xf numFmtId="167" fontId="39" fillId="61" borderId="29" xfId="48" applyBorder="1">
      <alignment horizontal="right"/>
      <protection locked="0"/>
    </xf>
    <xf numFmtId="0" fontId="19" fillId="35" borderId="10" xfId="0" applyNumberFormat="1" applyFont="1" applyFill="1" applyBorder="1" applyAlignment="1">
      <alignment horizontal="center" vertical="top" wrapText="1"/>
    </xf>
    <xf numFmtId="0" fontId="19" fillId="35" borderId="40" xfId="0" applyNumberFormat="1" applyFont="1" applyFill="1" applyBorder="1" applyAlignment="1">
      <alignment horizontal="center" vertical="top" wrapText="1"/>
    </xf>
    <xf numFmtId="0" fontId="19" fillId="39" borderId="11" xfId="0" applyNumberFormat="1" applyFont="1" applyFill="1" applyBorder="1" applyAlignment="1">
      <alignment horizontal="right" vertical="top" wrapText="1"/>
    </xf>
    <xf numFmtId="0" fontId="19" fillId="35" borderId="11" xfId="0" applyNumberFormat="1" applyFont="1" applyFill="1" applyBorder="1" applyAlignment="1">
      <alignment horizontal="right" vertical="top" wrapText="1"/>
    </xf>
    <xf numFmtId="0" fontId="19" fillId="40" borderId="11" xfId="0" applyNumberFormat="1" applyFont="1" applyFill="1" applyBorder="1" applyAlignment="1">
      <alignment horizontal="right" vertical="top" wrapText="1"/>
    </xf>
    <xf numFmtId="0" fontId="30" fillId="51" borderId="0" xfId="0" applyFont="1" applyFill="1"/>
    <xf numFmtId="0" fontId="18" fillId="0" borderId="0" xfId="0" applyFont="1" applyFill="1"/>
    <xf numFmtId="0" fontId="18" fillId="51" borderId="0" xfId="0" applyFont="1" applyFill="1"/>
    <xf numFmtId="0" fontId="107" fillId="79" borderId="16" xfId="45" applyBorder="1">
      <alignment vertical="center"/>
    </xf>
    <xf numFmtId="0" fontId="107" fillId="79" borderId="18" xfId="45" applyBorder="1">
      <alignment vertical="center"/>
    </xf>
    <xf numFmtId="0" fontId="107" fillId="79" borderId="19" xfId="45" applyBorder="1">
      <alignment vertical="center"/>
    </xf>
    <xf numFmtId="0" fontId="19" fillId="59" borderId="16" xfId="46" applyBorder="1">
      <alignment vertical="center"/>
    </xf>
    <xf numFmtId="0" fontId="19" fillId="59" borderId="18" xfId="46" applyBorder="1">
      <alignment vertical="center"/>
    </xf>
    <xf numFmtId="0" fontId="19" fillId="59" borderId="19" xfId="46" applyBorder="1">
      <alignment vertical="center"/>
    </xf>
    <xf numFmtId="0" fontId="0" fillId="51" borderId="0" xfId="0" applyFill="1" applyBorder="1"/>
    <xf numFmtId="0" fontId="0" fillId="0" borderId="0" xfId="0" applyBorder="1"/>
    <xf numFmtId="0" fontId="69" fillId="51" borderId="0" xfId="0" applyFont="1" applyFill="1" applyBorder="1"/>
    <xf numFmtId="0" fontId="69" fillId="0" borderId="0" xfId="0" applyFont="1" applyFill="1"/>
    <xf numFmtId="0" fontId="0" fillId="51" borderId="0" xfId="0" applyFill="1" applyAlignment="1">
      <alignment horizontal="right" indent="1"/>
    </xf>
    <xf numFmtId="0" fontId="0" fillId="0" borderId="0" xfId="0" applyAlignment="1">
      <alignment horizontal="right" indent="1"/>
    </xf>
    <xf numFmtId="0" fontId="0" fillId="51"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57" borderId="0" xfId="51" applyFont="1" applyAlignment="1"/>
    <xf numFmtId="0" fontId="18" fillId="33" borderId="0" xfId="0" applyFont="1" applyFill="1" applyAlignment="1">
      <alignment vertical="center"/>
    </xf>
    <xf numFmtId="0" fontId="18" fillId="0" borderId="0" xfId="0" applyFont="1" applyAlignment="1">
      <alignment vertical="center"/>
    </xf>
    <xf numFmtId="171" fontId="19" fillId="51" borderId="37" xfId="0" quotePrefix="1" applyNumberFormat="1" applyFont="1" applyFill="1" applyBorder="1" applyAlignment="1">
      <alignment horizontal="left" vertical="center" wrapText="1"/>
    </xf>
    <xf numFmtId="0" fontId="18" fillId="0" borderId="37" xfId="49" applyBorder="1">
      <alignment horizontal="left" vertical="center" wrapText="1" indent="1"/>
    </xf>
    <xf numFmtId="0" fontId="18" fillId="0" borderId="67" xfId="49" applyBorder="1">
      <alignment horizontal="left" vertical="center" wrapText="1" indent="1"/>
    </xf>
    <xf numFmtId="167" fontId="39" fillId="61" borderId="186" xfId="48" applyBorder="1">
      <alignment horizontal="right"/>
      <protection locked="0"/>
    </xf>
    <xf numFmtId="167" fontId="39" fillId="61" borderId="22" xfId="48" applyBorder="1">
      <alignment horizontal="right"/>
      <protection locked="0"/>
    </xf>
    <xf numFmtId="167" fontId="39" fillId="61" borderId="23" xfId="48" applyBorder="1">
      <alignment horizontal="right"/>
      <protection locked="0"/>
    </xf>
    <xf numFmtId="0" fontId="18" fillId="0" borderId="62" xfId="49" applyBorder="1">
      <alignment horizontal="left" vertical="center" wrapText="1" indent="1"/>
    </xf>
    <xf numFmtId="167" fontId="39" fillId="61" borderId="187" xfId="48" applyBorder="1">
      <alignment horizontal="right"/>
      <protection locked="0"/>
    </xf>
    <xf numFmtId="167" fontId="39" fillId="61" borderId="28" xfId="48" applyBorder="1">
      <alignment horizontal="right"/>
      <protection locked="0"/>
    </xf>
    <xf numFmtId="0" fontId="18" fillId="0" borderId="65" xfId="49" applyBorder="1">
      <alignment horizontal="left" vertical="center" wrapText="1" indent="1"/>
    </xf>
    <xf numFmtId="167" fontId="39" fillId="61" borderId="188" xfId="48" applyBorder="1">
      <alignment horizontal="right"/>
      <protection locked="0"/>
    </xf>
    <xf numFmtId="167" fontId="39" fillId="61" borderId="33" xfId="48" applyBorder="1">
      <alignment horizontal="right"/>
      <protection locked="0"/>
    </xf>
    <xf numFmtId="167" fontId="39" fillId="61" borderId="34" xfId="48" applyBorder="1">
      <alignment horizontal="right"/>
      <protection locked="0"/>
    </xf>
    <xf numFmtId="0" fontId="18" fillId="0" borderId="0" xfId="0" applyFont="1" applyBorder="1" applyAlignment="1">
      <alignment vertical="center"/>
    </xf>
    <xf numFmtId="170" fontId="71" fillId="70" borderId="243" xfId="52">
      <alignment horizontal="right" vertical="center"/>
    </xf>
    <xf numFmtId="0" fontId="18" fillId="0" borderId="39" xfId="49" applyBorder="1">
      <alignment horizontal="left" vertical="center" wrapText="1" indent="1"/>
    </xf>
    <xf numFmtId="0" fontId="72" fillId="0" borderId="0" xfId="0" applyFont="1" applyAlignment="1">
      <alignment horizontal="left" vertical="center"/>
    </xf>
    <xf numFmtId="0" fontId="72" fillId="0" borderId="0" xfId="0" applyFont="1" applyAlignment="1">
      <alignment horizontal="left" vertical="top" wrapText="1"/>
    </xf>
    <xf numFmtId="0" fontId="0" fillId="0" borderId="0" xfId="0" applyProtection="1"/>
    <xf numFmtId="0" fontId="0" fillId="0" borderId="0" xfId="0"/>
    <xf numFmtId="2" fontId="0" fillId="0" borderId="0" xfId="0" applyNumberFormat="1"/>
    <xf numFmtId="0" fontId="18" fillId="0" borderId="0" xfId="0" applyFont="1"/>
    <xf numFmtId="167" fontId="39" fillId="61" borderId="194" xfId="48" applyBorder="1">
      <alignment horizontal="right"/>
      <protection locked="0"/>
    </xf>
    <xf numFmtId="167" fontId="39" fillId="61" borderId="195" xfId="48" applyBorder="1">
      <alignment horizontal="right"/>
      <protection locked="0"/>
    </xf>
    <xf numFmtId="167" fontId="39" fillId="61" borderId="71" xfId="48" applyBorder="1">
      <alignment horizontal="right"/>
      <protection locked="0"/>
    </xf>
    <xf numFmtId="167" fontId="39" fillId="61" borderId="196" xfId="48" applyBorder="1">
      <alignment horizontal="right"/>
      <protection locked="0"/>
    </xf>
    <xf numFmtId="167" fontId="39" fillId="61" borderId="197" xfId="48" applyBorder="1">
      <alignment horizontal="right"/>
      <protection locked="0"/>
    </xf>
    <xf numFmtId="167" fontId="39" fillId="61" borderId="179" xfId="48" applyBorder="1">
      <alignment horizontal="right"/>
      <protection locked="0"/>
    </xf>
    <xf numFmtId="167" fontId="39" fillId="61" borderId="177" xfId="48" applyBorder="1">
      <alignment horizontal="right"/>
      <protection locked="0"/>
    </xf>
    <xf numFmtId="167" fontId="39" fillId="61" borderId="180" xfId="48" applyBorder="1">
      <alignment horizontal="right"/>
      <protection locked="0"/>
    </xf>
    <xf numFmtId="167" fontId="39" fillId="61" borderId="183" xfId="48" applyBorder="1">
      <alignment horizontal="right"/>
      <protection locked="0"/>
    </xf>
    <xf numFmtId="167" fontId="39" fillId="61" borderId="181" xfId="48" applyBorder="1">
      <alignment horizontal="right"/>
      <protection locked="0"/>
    </xf>
    <xf numFmtId="167" fontId="39" fillId="61" borderId="184" xfId="48" applyBorder="1">
      <alignment horizontal="right"/>
      <protection locked="0"/>
    </xf>
    <xf numFmtId="0" fontId="19" fillId="0" borderId="14" xfId="0" applyFont="1" applyBorder="1" applyAlignment="1">
      <alignment horizontal="center" vertical="center"/>
    </xf>
    <xf numFmtId="167" fontId="39" fillId="61" borderId="166" xfId="48" applyBorder="1">
      <alignment horizontal="right"/>
      <protection locked="0"/>
    </xf>
    <xf numFmtId="167" fontId="39" fillId="61" borderId="167" xfId="48" applyBorder="1">
      <alignment horizontal="right"/>
      <protection locked="0"/>
    </xf>
    <xf numFmtId="167" fontId="39" fillId="61" borderId="168" xfId="48" applyBorder="1">
      <alignment horizontal="right"/>
      <protection locked="0"/>
    </xf>
    <xf numFmtId="167" fontId="39" fillId="61" borderId="169" xfId="48" applyBorder="1">
      <alignment horizontal="right"/>
      <protection locked="0"/>
    </xf>
    <xf numFmtId="167" fontId="39" fillId="61" borderId="170" xfId="48" applyBorder="1">
      <alignment horizontal="right"/>
      <protection locked="0"/>
    </xf>
    <xf numFmtId="167" fontId="39" fillId="61" borderId="171" xfId="48" applyBorder="1">
      <alignment horizontal="right"/>
      <protection locked="0"/>
    </xf>
    <xf numFmtId="167" fontId="39" fillId="61" borderId="172" xfId="48" applyBorder="1">
      <alignment horizontal="right"/>
      <protection locked="0"/>
    </xf>
    <xf numFmtId="167" fontId="39" fillId="61" borderId="173" xfId="48" applyBorder="1">
      <alignment horizontal="right"/>
      <protection locked="0"/>
    </xf>
    <xf numFmtId="167" fontId="39" fillId="61" borderId="174" xfId="48" applyBorder="1">
      <alignment horizontal="right"/>
      <protection locked="0"/>
    </xf>
    <xf numFmtId="167" fontId="39" fillId="61" borderId="175" xfId="48" applyBorder="1">
      <alignment horizontal="right"/>
      <protection locked="0"/>
    </xf>
    <xf numFmtId="167" fontId="39" fillId="61" borderId="176" xfId="48" applyBorder="1">
      <alignment horizontal="right"/>
      <protection locked="0"/>
    </xf>
    <xf numFmtId="167" fontId="39" fillId="61" borderId="178" xfId="48" applyBorder="1">
      <alignment horizontal="right"/>
      <protection locked="0"/>
    </xf>
    <xf numFmtId="167" fontId="39" fillId="61" borderId="45" xfId="48" applyBorder="1">
      <alignment horizontal="right"/>
      <protection locked="0"/>
    </xf>
    <xf numFmtId="167" fontId="39" fillId="61" borderId="182" xfId="48" applyBorder="1">
      <alignment horizontal="right"/>
      <protection locked="0"/>
    </xf>
    <xf numFmtId="0" fontId="72" fillId="51" borderId="0" xfId="0" applyFont="1" applyFill="1"/>
    <xf numFmtId="0" fontId="72" fillId="0" borderId="0" xfId="0" applyFont="1"/>
    <xf numFmtId="0" fontId="18" fillId="51" borderId="0" xfId="0" applyFont="1" applyFill="1" applyBorder="1"/>
    <xf numFmtId="0" fontId="72" fillId="0" borderId="0" xfId="0" applyFont="1" applyFill="1"/>
    <xf numFmtId="0" fontId="74" fillId="51" borderId="0" xfId="0" applyFont="1" applyFill="1"/>
    <xf numFmtId="0" fontId="33" fillId="0" borderId="0" xfId="0" applyFont="1"/>
    <xf numFmtId="0" fontId="74" fillId="0" borderId="0" xfId="0" applyFont="1"/>
    <xf numFmtId="0" fontId="44" fillId="51" borderId="0" xfId="0" applyFont="1" applyFill="1"/>
    <xf numFmtId="0" fontId="33" fillId="0" borderId="0" xfId="0" applyFont="1" applyFill="1"/>
    <xf numFmtId="0" fontId="72" fillId="51" borderId="0" xfId="0" applyFont="1" applyFill="1" applyBorder="1"/>
    <xf numFmtId="0" fontId="33" fillId="51" borderId="0" xfId="0" applyFont="1" applyFill="1"/>
    <xf numFmtId="49" fontId="18" fillId="69" borderId="49" xfId="57" applyBorder="1" applyAlignment="1" applyProtection="1">
      <alignment horizontal="left" vertical="top" wrapText="1"/>
      <protection locked="0"/>
    </xf>
    <xf numFmtId="49" fontId="18" fillId="69" borderId="55" xfId="57" applyBorder="1" applyAlignment="1" applyProtection="1">
      <alignment horizontal="left" vertical="top" wrapText="1"/>
      <protection locked="0"/>
    </xf>
    <xf numFmtId="49" fontId="18" fillId="69" borderId="60" xfId="57" applyBorder="1" applyAlignment="1" applyProtection="1">
      <alignment horizontal="left" vertical="top" wrapText="1"/>
      <protection locked="0"/>
    </xf>
    <xf numFmtId="0" fontId="18" fillId="0" borderId="213" xfId="49" applyBorder="1">
      <alignment horizontal="left" vertical="center" wrapText="1" indent="1"/>
    </xf>
    <xf numFmtId="0" fontId="18" fillId="0" borderId="214" xfId="49" applyBorder="1">
      <alignment horizontal="left" vertical="center" wrapText="1" indent="1"/>
    </xf>
    <xf numFmtId="0" fontId="18" fillId="0" borderId="215" xfId="49" applyBorder="1">
      <alignment horizontal="left" vertical="center" wrapText="1" indent="1"/>
    </xf>
    <xf numFmtId="170" fontId="71" fillId="70" borderId="16" xfId="52" applyBorder="1">
      <alignment horizontal="right" vertical="center"/>
    </xf>
    <xf numFmtId="170" fontId="71" fillId="70" borderId="18" xfId="52" applyBorder="1">
      <alignment horizontal="right" vertical="center"/>
    </xf>
    <xf numFmtId="170" fontId="71" fillId="70" borderId="19" xfId="52" applyBorder="1">
      <alignment horizontal="right" vertical="center"/>
    </xf>
    <xf numFmtId="167" fontId="39" fillId="61" borderId="205" xfId="48" applyBorder="1">
      <alignment horizontal="right"/>
      <protection locked="0"/>
    </xf>
    <xf numFmtId="167" fontId="39" fillId="61" borderId="206" xfId="48" applyBorder="1">
      <alignment horizontal="right"/>
      <protection locked="0"/>
    </xf>
    <xf numFmtId="167" fontId="39" fillId="61" borderId="207" xfId="48" applyBorder="1">
      <alignment horizontal="right"/>
      <protection locked="0"/>
    </xf>
    <xf numFmtId="167" fontId="39" fillId="61" borderId="208" xfId="48" applyBorder="1">
      <alignment horizontal="right"/>
      <protection locked="0"/>
    </xf>
    <xf numFmtId="167" fontId="39" fillId="61" borderId="209" xfId="48" applyBorder="1">
      <alignment horizontal="right"/>
      <protection locked="0"/>
    </xf>
    <xf numFmtId="0" fontId="19" fillId="51" borderId="0" xfId="0" applyFont="1" applyFill="1"/>
    <xf numFmtId="0" fontId="0" fillId="51" borderId="0" xfId="0" applyFill="1"/>
    <xf numFmtId="0" fontId="0" fillId="0" borderId="0" xfId="0"/>
    <xf numFmtId="0" fontId="0" fillId="0" borderId="0" xfId="0" applyFill="1" applyBorder="1" applyAlignment="1">
      <alignment vertical="center"/>
    </xf>
    <xf numFmtId="0" fontId="0" fillId="0" borderId="11" xfId="0" applyBorder="1"/>
    <xf numFmtId="0" fontId="1" fillId="69" borderId="217" xfId="0" applyFont="1" applyFill="1" applyBorder="1" applyAlignment="1" applyProtection="1">
      <alignment vertical="top" wrapText="1"/>
      <protection locked="0"/>
    </xf>
    <xf numFmtId="0" fontId="0" fillId="0" borderId="108" xfId="0" applyBorder="1"/>
    <xf numFmtId="0" fontId="16" fillId="0" borderId="37" xfId="0" applyFont="1" applyBorder="1" applyAlignment="1">
      <alignment vertical="center"/>
    </xf>
    <xf numFmtId="172" fontId="39" fillId="61" borderId="192" xfId="48" applyNumberFormat="1" applyBorder="1">
      <alignment horizontal="right"/>
      <protection locked="0"/>
    </xf>
    <xf numFmtId="172" fontId="39" fillId="61" borderId="147" xfId="48" applyNumberFormat="1" applyBorder="1">
      <alignment horizontal="right"/>
      <protection locked="0"/>
    </xf>
    <xf numFmtId="172" fontId="39" fillId="61" borderId="218" xfId="48" applyNumberFormat="1" applyBorder="1">
      <alignment horizontal="right"/>
      <protection locked="0"/>
    </xf>
    <xf numFmtId="0" fontId="77" fillId="0" borderId="37" xfId="0" applyFont="1" applyBorder="1" applyAlignment="1">
      <alignment horizontal="left" vertical="center" indent="1"/>
    </xf>
    <xf numFmtId="172" fontId="0" fillId="0" borderId="108" xfId="0" applyNumberFormat="1" applyFill="1" applyBorder="1"/>
    <xf numFmtId="0" fontId="0" fillId="0" borderId="37" xfId="0" applyBorder="1" applyAlignment="1">
      <alignment horizontal="left" vertical="center" indent="2"/>
    </xf>
    <xf numFmtId="172" fontId="39" fillId="61" borderId="219" xfId="48" applyNumberFormat="1" applyBorder="1">
      <alignment horizontal="right"/>
      <protection locked="0"/>
    </xf>
    <xf numFmtId="172" fontId="39" fillId="61" borderId="220" xfId="48" applyNumberFormat="1" applyBorder="1">
      <alignment horizontal="right"/>
      <protection locked="0"/>
    </xf>
    <xf numFmtId="172" fontId="39" fillId="61" borderId="221" xfId="48" applyNumberFormat="1" applyBorder="1">
      <alignment horizontal="right"/>
      <protection locked="0"/>
    </xf>
    <xf numFmtId="172" fontId="39" fillId="61" borderId="187" xfId="48" applyNumberFormat="1" applyBorder="1">
      <alignment horizontal="right"/>
      <protection locked="0"/>
    </xf>
    <xf numFmtId="172" fontId="39" fillId="61" borderId="28" xfId="48" applyNumberFormat="1" applyBorder="1">
      <alignment horizontal="right"/>
      <protection locked="0"/>
    </xf>
    <xf numFmtId="172" fontId="39" fillId="61" borderId="71" xfId="48" applyNumberFormat="1" applyBorder="1">
      <alignment horizontal="right"/>
      <protection locked="0"/>
    </xf>
    <xf numFmtId="172" fontId="39" fillId="61" borderId="222" xfId="48" applyNumberFormat="1" applyBorder="1">
      <alignment horizontal="right"/>
      <protection locked="0"/>
    </xf>
    <xf numFmtId="172" fontId="39" fillId="61" borderId="120" xfId="48" applyNumberFormat="1" applyBorder="1">
      <alignment horizontal="right"/>
      <protection locked="0"/>
    </xf>
    <xf numFmtId="172" fontId="39" fillId="61" borderId="223" xfId="48" applyNumberFormat="1" applyBorder="1">
      <alignment horizontal="right"/>
      <protection locked="0"/>
    </xf>
    <xf numFmtId="0" fontId="78" fillId="0" borderId="13" xfId="0" applyFont="1" applyBorder="1" applyAlignment="1">
      <alignment vertical="center"/>
    </xf>
    <xf numFmtId="0" fontId="107" fillId="79" borderId="11" xfId="45" applyBorder="1">
      <alignment vertical="center"/>
    </xf>
    <xf numFmtId="0" fontId="21" fillId="71" borderId="135" xfId="62" applyBorder="1">
      <alignment horizontal="right" vertical="center" wrapText="1" indent="1"/>
    </xf>
    <xf numFmtId="0" fontId="21" fillId="71" borderId="136" xfId="62" applyBorder="1">
      <alignment horizontal="right" vertical="center" wrapText="1" indent="1"/>
    </xf>
    <xf numFmtId="0" fontId="21" fillId="72" borderId="136" xfId="63" applyBorder="1">
      <alignment horizontal="right" vertical="center" wrapText="1" indent="1"/>
    </xf>
    <xf numFmtId="0" fontId="21" fillId="72" borderId="154" xfId="63" applyBorder="1">
      <alignment horizontal="right" vertical="center" wrapText="1" indent="1"/>
    </xf>
    <xf numFmtId="49" fontId="18" fillId="43" borderId="21" xfId="56" applyBorder="1" applyAlignment="1" applyProtection="1">
      <protection locked="0"/>
    </xf>
    <xf numFmtId="49" fontId="18" fillId="43" borderId="27" xfId="56" applyBorder="1" applyAlignment="1" applyProtection="1">
      <protection locked="0"/>
    </xf>
    <xf numFmtId="49" fontId="18" fillId="43" borderId="32" xfId="56" applyBorder="1" applyAlignment="1" applyProtection="1">
      <protection locked="0"/>
    </xf>
    <xf numFmtId="49" fontId="18" fillId="69" borderId="228" xfId="57" applyBorder="1" applyAlignment="1" applyProtection="1">
      <alignment vertical="top" wrapText="1"/>
      <protection locked="0"/>
    </xf>
    <xf numFmtId="0" fontId="0" fillId="0" borderId="0" xfId="0" applyAlignment="1">
      <alignment vertical="center"/>
    </xf>
    <xf numFmtId="0" fontId="0" fillId="51" borderId="0" xfId="0" applyFill="1"/>
    <xf numFmtId="0" fontId="0" fillId="0" borderId="0" xfId="0"/>
    <xf numFmtId="0" fontId="18" fillId="51" borderId="0" xfId="0" applyFont="1" applyFill="1"/>
    <xf numFmtId="0" fontId="18" fillId="0" borderId="0" xfId="0" applyFont="1" applyFill="1"/>
    <xf numFmtId="0" fontId="18" fillId="0" borderId="0" xfId="0" applyFont="1"/>
    <xf numFmtId="167" fontId="39" fillId="61" borderId="229" xfId="48" applyBorder="1">
      <alignment horizontal="right"/>
      <protection locked="0"/>
    </xf>
    <xf numFmtId="167" fontId="39" fillId="61" borderId="202" xfId="48" applyBorder="1">
      <alignment horizontal="right"/>
      <protection locked="0"/>
    </xf>
    <xf numFmtId="167" fontId="39" fillId="61" borderId="44" xfId="48" applyBorder="1">
      <alignment horizontal="right"/>
      <protection locked="0"/>
    </xf>
    <xf numFmtId="167" fontId="39" fillId="61" borderId="230" xfId="48" applyBorder="1">
      <alignment horizontal="right"/>
      <protection locked="0"/>
    </xf>
    <xf numFmtId="167" fontId="39" fillId="61" borderId="231" xfId="48" applyBorder="1">
      <alignment horizontal="right"/>
      <protection locked="0"/>
    </xf>
    <xf numFmtId="167" fontId="39" fillId="61" borderId="232" xfId="48" applyBorder="1">
      <alignment horizontal="right"/>
      <protection locked="0"/>
    </xf>
    <xf numFmtId="0" fontId="21" fillId="41" borderId="234" xfId="54" applyBorder="1">
      <alignment horizontal="right" vertical="center" wrapText="1" indent="1"/>
    </xf>
    <xf numFmtId="0" fontId="21" fillId="41" borderId="233" xfId="54" applyBorder="1">
      <alignment horizontal="right" vertical="center" wrapText="1" indent="1"/>
    </xf>
    <xf numFmtId="0" fontId="21" fillId="48" borderId="233" xfId="55" applyBorder="1">
      <alignment horizontal="right" vertical="center" wrapText="1" indent="1"/>
    </xf>
    <xf numFmtId="0" fontId="21" fillId="48" borderId="235" xfId="55" applyBorder="1">
      <alignment horizontal="right" vertical="center" wrapText="1" indent="1"/>
    </xf>
    <xf numFmtId="49" fontId="18" fillId="69" borderId="55" xfId="57" applyBorder="1" applyAlignment="1" applyProtection="1">
      <alignment horizontal="left" vertical="center" wrapText="1"/>
      <protection locked="0"/>
    </xf>
    <xf numFmtId="49" fontId="18" fillId="69" borderId="60" xfId="57" applyBorder="1" applyAlignment="1" applyProtection="1">
      <alignment horizontal="left" vertical="center" wrapText="1"/>
      <protection locked="0"/>
    </xf>
    <xf numFmtId="0" fontId="77" fillId="0" borderId="0" xfId="0" applyFont="1" applyAlignment="1">
      <alignment horizontal="center"/>
    </xf>
    <xf numFmtId="0" fontId="107" fillId="79" borderId="12" xfId="45" applyBorder="1">
      <alignment vertical="center"/>
    </xf>
    <xf numFmtId="0" fontId="0" fillId="0" borderId="15" xfId="0" applyBorder="1"/>
    <xf numFmtId="167" fontId="39" fillId="61" borderId="239" xfId="48" applyBorder="1">
      <alignment horizontal="right"/>
      <protection locked="0"/>
    </xf>
    <xf numFmtId="167" fontId="39" fillId="61" borderId="240" xfId="48" applyBorder="1">
      <alignment horizontal="right"/>
      <protection locked="0"/>
    </xf>
    <xf numFmtId="167" fontId="39" fillId="61" borderId="241" xfId="48" applyBorder="1">
      <alignment horizontal="right"/>
      <protection locked="0"/>
    </xf>
    <xf numFmtId="167" fontId="39" fillId="61" borderId="242" xfId="48" applyBorder="1">
      <alignment horizontal="right"/>
      <protection locked="0"/>
    </xf>
    <xf numFmtId="0" fontId="0" fillId="62" borderId="246" xfId="0" applyFill="1" applyBorder="1" applyAlignment="1">
      <alignment horizontal="right"/>
    </xf>
    <xf numFmtId="170" fontId="71" fillId="70" borderId="244" xfId="52" applyBorder="1">
      <alignment horizontal="right" vertical="center"/>
    </xf>
    <xf numFmtId="0" fontId="44" fillId="51" borderId="0" xfId="0" applyFont="1" applyFill="1" applyAlignment="1"/>
    <xf numFmtId="0" fontId="21" fillId="71" borderId="233" xfId="62" applyBorder="1">
      <alignment horizontal="right" vertical="center" wrapText="1" indent="1"/>
    </xf>
    <xf numFmtId="0" fontId="21" fillId="72" borderId="233" xfId="63" applyBorder="1">
      <alignment horizontal="right" vertical="center" wrapText="1" indent="1"/>
    </xf>
    <xf numFmtId="0" fontId="0" fillId="0" borderId="0" xfId="0" applyAlignment="1">
      <alignment wrapText="1"/>
    </xf>
    <xf numFmtId="0" fontId="18" fillId="51" borderId="81" xfId="0" applyFont="1" applyFill="1" applyBorder="1" applyAlignment="1">
      <alignment horizontal="left" vertical="center" wrapText="1" indent="1"/>
    </xf>
    <xf numFmtId="0" fontId="38" fillId="60" borderId="73" xfId="47" applyBorder="1" applyAlignment="1">
      <alignment vertical="center"/>
    </xf>
    <xf numFmtId="0" fontId="38" fillId="60" borderId="190" xfId="47" applyBorder="1" applyAlignment="1">
      <alignment vertical="center"/>
    </xf>
    <xf numFmtId="0" fontId="38" fillId="60" borderId="191" xfId="47" applyBorder="1" applyAlignment="1">
      <alignment vertical="center"/>
    </xf>
    <xf numFmtId="0" fontId="18" fillId="51" borderId="249" xfId="0" applyFont="1" applyFill="1" applyBorder="1" applyAlignment="1">
      <alignment horizontal="left" vertical="center" wrapText="1" indent="1"/>
    </xf>
    <xf numFmtId="167" fontId="39" fillId="61" borderId="21" xfId="48" applyBorder="1">
      <alignment horizontal="right"/>
      <protection locked="0"/>
    </xf>
    <xf numFmtId="167" fontId="39" fillId="61" borderId="164" xfId="48" applyBorder="1">
      <alignment horizontal="right"/>
      <protection locked="0"/>
    </xf>
    <xf numFmtId="167" fontId="39" fillId="61" borderId="120" xfId="48" applyBorder="1">
      <alignment horizontal="right"/>
      <protection locked="0"/>
    </xf>
    <xf numFmtId="167" fontId="39" fillId="61" borderId="165" xfId="48" applyBorder="1">
      <alignment horizontal="right"/>
      <protection locked="0"/>
    </xf>
    <xf numFmtId="167" fontId="39" fillId="61" borderId="110" xfId="48" applyBorder="1">
      <alignment horizontal="right"/>
      <protection locked="0"/>
    </xf>
    <xf numFmtId="167" fontId="39" fillId="61" borderId="121" xfId="48" applyBorder="1">
      <alignment horizontal="right"/>
      <protection locked="0"/>
    </xf>
    <xf numFmtId="167" fontId="39" fillId="61" borderId="222" xfId="48" applyBorder="1">
      <alignment horizontal="right"/>
      <protection locked="0"/>
    </xf>
    <xf numFmtId="170" fontId="71" fillId="70" borderId="135" xfId="52" applyBorder="1">
      <alignment horizontal="right" vertical="center"/>
    </xf>
    <xf numFmtId="0" fontId="0" fillId="0" borderId="12" xfId="0" applyBorder="1"/>
    <xf numFmtId="167" fontId="39" fillId="61" borderId="52" xfId="48" applyBorder="1">
      <alignment horizontal="right"/>
      <protection locked="0"/>
    </xf>
    <xf numFmtId="167" fontId="39" fillId="61" borderId="250" xfId="48" applyBorder="1">
      <alignment horizontal="right"/>
      <protection locked="0"/>
    </xf>
    <xf numFmtId="167" fontId="39" fillId="61" borderId="150" xfId="48" applyBorder="1">
      <alignment horizontal="right"/>
      <protection locked="0"/>
    </xf>
    <xf numFmtId="167" fontId="39" fillId="61" borderId="27" xfId="48" applyBorder="1">
      <alignment horizontal="right"/>
      <protection locked="0"/>
    </xf>
    <xf numFmtId="167" fontId="39" fillId="61" borderId="32" xfId="48" applyBorder="1">
      <alignment horizontal="right"/>
      <protection locked="0"/>
    </xf>
    <xf numFmtId="0" fontId="0" fillId="0" borderId="0" xfId="0"/>
    <xf numFmtId="164" fontId="50" fillId="0" borderId="0" xfId="0" applyNumberFormat="1" applyFont="1" applyFill="1" applyBorder="1"/>
    <xf numFmtId="0" fontId="44" fillId="51" borderId="0" xfId="0" applyFont="1" applyFill="1" applyAlignment="1">
      <alignment wrapText="1"/>
    </xf>
    <xf numFmtId="0" fontId="50" fillId="0" borderId="0" xfId="0" applyFont="1" applyFill="1" applyAlignment="1">
      <alignment wrapText="1"/>
    </xf>
    <xf numFmtId="167" fontId="39" fillId="61" borderId="112" xfId="48" applyBorder="1">
      <alignment horizontal="right"/>
      <protection locked="0"/>
    </xf>
    <xf numFmtId="0" fontId="0" fillId="0" borderId="0" xfId="0"/>
    <xf numFmtId="0" fontId="20" fillId="51" borderId="0" xfId="0" applyFont="1" applyFill="1" applyProtection="1"/>
    <xf numFmtId="0" fontId="73" fillId="0" borderId="0" xfId="0" applyFont="1"/>
    <xf numFmtId="167" fontId="39" fillId="61" borderId="122" xfId="48" applyBorder="1">
      <alignment horizontal="right"/>
      <protection locked="0"/>
    </xf>
    <xf numFmtId="167" fontId="39" fillId="61" borderId="123" xfId="48" applyBorder="1">
      <alignment horizontal="right"/>
      <protection locked="0"/>
    </xf>
    <xf numFmtId="0" fontId="18" fillId="0" borderId="0" xfId="0" applyFont="1" applyAlignment="1">
      <alignment wrapText="1"/>
    </xf>
    <xf numFmtId="0" fontId="19" fillId="51" borderId="0" xfId="0" applyFont="1" applyFill="1" applyBorder="1"/>
    <xf numFmtId="0" fontId="0" fillId="51" borderId="0" xfId="0" applyFill="1" applyAlignment="1">
      <alignment wrapText="1"/>
    </xf>
    <xf numFmtId="0" fontId="19" fillId="59" borderId="73" xfId="46" applyBorder="1">
      <alignment vertical="center"/>
    </xf>
    <xf numFmtId="0" fontId="19" fillId="59" borderId="190" xfId="46" applyBorder="1">
      <alignment vertical="center"/>
    </xf>
    <xf numFmtId="0" fontId="19" fillId="59" borderId="191" xfId="46" applyBorder="1">
      <alignment vertical="center"/>
    </xf>
    <xf numFmtId="0" fontId="19" fillId="59" borderId="86" xfId="46" applyBorder="1">
      <alignment vertical="center"/>
    </xf>
    <xf numFmtId="0" fontId="19" fillId="59" borderId="99" xfId="46" applyBorder="1">
      <alignment vertical="center"/>
    </xf>
    <xf numFmtId="0" fontId="19" fillId="59" borderId="149" xfId="46" applyBorder="1">
      <alignment vertical="center"/>
    </xf>
    <xf numFmtId="0" fontId="18" fillId="51" borderId="0" xfId="0" applyFont="1" applyFill="1" applyBorder="1" applyAlignment="1">
      <alignment wrapText="1"/>
    </xf>
    <xf numFmtId="0" fontId="18" fillId="51" borderId="0" xfId="0" applyFont="1" applyFill="1" applyBorder="1" applyAlignment="1" applyProtection="1">
      <alignment horizontal="right" vertical="center" wrapText="1"/>
      <protection locked="0"/>
    </xf>
    <xf numFmtId="0" fontId="19" fillId="0" borderId="0" xfId="0" applyFont="1" applyFill="1"/>
    <xf numFmtId="0" fontId="19" fillId="0" borderId="0" xfId="0" applyFont="1" applyAlignment="1">
      <alignment horizontal="center"/>
    </xf>
    <xf numFmtId="170" fontId="71" fillId="70" borderId="95" xfId="52" applyBorder="1">
      <alignment horizontal="right" vertical="center"/>
    </xf>
    <xf numFmtId="170" fontId="71" fillId="70" borderId="96" xfId="52" applyBorder="1">
      <alignment horizontal="right" vertical="center"/>
    </xf>
    <xf numFmtId="167" fontId="39" fillId="61" borderId="31" xfId="48" applyBorder="1">
      <alignment horizontal="right"/>
      <protection locked="0"/>
    </xf>
    <xf numFmtId="167" fontId="39" fillId="61" borderId="219" xfId="48" applyBorder="1">
      <alignment horizontal="right"/>
      <protection locked="0"/>
    </xf>
    <xf numFmtId="0" fontId="18" fillId="33" borderId="0" xfId="0" applyFont="1" applyFill="1"/>
    <xf numFmtId="167" fontId="39" fillId="61" borderId="220" xfId="48" applyBorder="1">
      <alignment horizontal="right"/>
      <protection locked="0"/>
    </xf>
    <xf numFmtId="167" fontId="39" fillId="61" borderId="252" xfId="48" applyBorder="1">
      <alignment horizontal="right"/>
      <protection locked="0"/>
    </xf>
    <xf numFmtId="0" fontId="81" fillId="0" borderId="0" xfId="0" applyFont="1" applyFill="1" applyBorder="1"/>
    <xf numFmtId="0" fontId="18" fillId="0" borderId="0" xfId="0" applyFont="1" applyFill="1" applyBorder="1"/>
    <xf numFmtId="0" fontId="0" fillId="0" borderId="0" xfId="0"/>
    <xf numFmtId="0" fontId="0" fillId="0" borderId="0" xfId="0" applyAlignment="1">
      <alignment vertical="center" wrapText="1"/>
    </xf>
    <xf numFmtId="0" fontId="81" fillId="0" borderId="0" xfId="0" applyFont="1" applyFill="1" applyBorder="1"/>
    <xf numFmtId="1" fontId="18" fillId="51" borderId="0" xfId="58" applyNumberFormat="1" applyFont="1" applyFill="1" applyBorder="1" applyAlignment="1" applyProtection="1">
      <alignment horizontal="center"/>
      <protection locked="0"/>
    </xf>
    <xf numFmtId="0" fontId="0" fillId="51" borderId="0" xfId="0" applyFill="1"/>
    <xf numFmtId="0" fontId="0" fillId="0" borderId="0" xfId="0"/>
    <xf numFmtId="0" fontId="81" fillId="51" borderId="0" xfId="0" applyFont="1" applyFill="1" applyBorder="1"/>
    <xf numFmtId="0" fontId="0" fillId="0" borderId="0" xfId="0"/>
    <xf numFmtId="0" fontId="81" fillId="0" borderId="0" xfId="0" applyFont="1" applyFill="1" applyBorder="1"/>
    <xf numFmtId="0" fontId="86" fillId="0" borderId="0" xfId="0" applyFont="1"/>
    <xf numFmtId="0" fontId="86" fillId="0" borderId="10" xfId="0" applyFont="1" applyBorder="1"/>
    <xf numFmtId="0" fontId="86" fillId="0" borderId="11" xfId="0" applyFont="1" applyBorder="1"/>
    <xf numFmtId="0" fontId="86" fillId="0" borderId="12" xfId="0" applyFont="1" applyBorder="1"/>
    <xf numFmtId="0" fontId="86" fillId="0" borderId="37" xfId="0" applyFont="1" applyBorder="1"/>
    <xf numFmtId="0" fontId="86" fillId="0" borderId="38" xfId="0" applyFont="1" applyBorder="1"/>
    <xf numFmtId="0" fontId="0" fillId="0" borderId="37" xfId="0" applyBorder="1"/>
    <xf numFmtId="0" fontId="86" fillId="0" borderId="13" xfId="0" applyFont="1" applyBorder="1"/>
    <xf numFmtId="0" fontId="86" fillId="0" borderId="14" xfId="0" applyFont="1" applyBorder="1"/>
    <xf numFmtId="0" fontId="86" fillId="0" borderId="15" xfId="0" applyFont="1" applyBorder="1"/>
    <xf numFmtId="0" fontId="89" fillId="0" borderId="0" xfId="0" applyFont="1" applyAlignment="1">
      <alignment vertical="top"/>
    </xf>
    <xf numFmtId="0" fontId="18" fillId="0" borderId="0" xfId="0" applyFont="1" applyFill="1" applyAlignment="1">
      <alignment vertical="center"/>
    </xf>
    <xf numFmtId="0" fontId="49" fillId="0" borderId="0" xfId="0" applyFont="1" applyFill="1" applyAlignment="1" applyProtection="1">
      <alignment vertical="center"/>
      <protection locked="0"/>
    </xf>
    <xf numFmtId="0" fontId="49" fillId="0" borderId="0" xfId="0" applyFont="1" applyFill="1" applyAlignment="1" applyProtection="1">
      <alignment horizontal="center" vertical="center"/>
      <protection locked="0"/>
    </xf>
    <xf numFmtId="0" fontId="90" fillId="58" borderId="16" xfId="0" applyFont="1" applyFill="1" applyBorder="1" applyAlignment="1">
      <alignment horizontal="right" vertical="center" indent="2"/>
    </xf>
    <xf numFmtId="0" fontId="91" fillId="0" borderId="12" xfId="0" applyFont="1" applyFill="1" applyBorder="1" applyAlignment="1" applyProtection="1">
      <alignment vertical="top" wrapText="1"/>
    </xf>
    <xf numFmtId="0" fontId="18" fillId="0" borderId="0" xfId="0" quotePrefix="1" applyFont="1" applyFill="1" applyAlignment="1">
      <alignment vertical="center"/>
    </xf>
    <xf numFmtId="0" fontId="69" fillId="51" borderId="38" xfId="0" quotePrefix="1" applyFont="1" applyFill="1" applyBorder="1" applyAlignment="1" applyProtection="1">
      <alignment horizontal="left" vertical="top" wrapText="1" indent="1"/>
    </xf>
    <xf numFmtId="0" fontId="18" fillId="51" borderId="199" xfId="0" applyFont="1" applyFill="1" applyBorder="1" applyAlignment="1">
      <alignment vertical="center"/>
    </xf>
    <xf numFmtId="0" fontId="69" fillId="69" borderId="69" xfId="0" applyFont="1" applyFill="1" applyBorder="1" applyAlignment="1">
      <alignment horizontal="left" vertical="center" indent="2"/>
    </xf>
    <xf numFmtId="0" fontId="0" fillId="51" borderId="38" xfId="0" applyFill="1" applyBorder="1"/>
    <xf numFmtId="0" fontId="69" fillId="43" borderId="39" xfId="0" applyFont="1" applyFill="1" applyBorder="1" applyAlignment="1">
      <alignment horizontal="left" vertical="center" indent="2"/>
    </xf>
    <xf numFmtId="0" fontId="69" fillId="50" borderId="39" xfId="0" applyFont="1" applyFill="1" applyBorder="1" applyAlignment="1">
      <alignment horizontal="left" vertical="center" indent="2"/>
    </xf>
    <xf numFmtId="0" fontId="69" fillId="62" borderId="77" xfId="0" applyFont="1" applyFill="1" applyBorder="1" applyAlignment="1">
      <alignment horizontal="left" vertical="center" indent="2"/>
    </xf>
    <xf numFmtId="2" fontId="33" fillId="0" borderId="103" xfId="0" applyNumberFormat="1" applyFont="1" applyFill="1" applyBorder="1" applyAlignment="1" applyProtection="1">
      <alignment horizontal="center" vertical="center" wrapText="1"/>
    </xf>
    <xf numFmtId="0" fontId="18" fillId="51" borderId="193" xfId="0" applyFont="1" applyFill="1" applyBorder="1" applyAlignment="1">
      <alignment vertical="center"/>
    </xf>
    <xf numFmtId="0" fontId="0" fillId="51" borderId="14" xfId="0" applyFill="1" applyBorder="1"/>
    <xf numFmtId="0" fontId="0" fillId="51" borderId="15" xfId="0" applyFill="1" applyBorder="1"/>
    <xf numFmtId="0" fontId="99" fillId="0" borderId="0" xfId="0" applyFont="1" applyFill="1" applyProtection="1">
      <protection locked="0"/>
    </xf>
    <xf numFmtId="0" fontId="100" fillId="0" borderId="0" xfId="0" applyFont="1" applyFill="1" applyAlignment="1">
      <alignment vertical="center"/>
    </xf>
    <xf numFmtId="0" fontId="101" fillId="0" borderId="0" xfId="0" applyFont="1"/>
    <xf numFmtId="49" fontId="0" fillId="0" borderId="0" xfId="0" applyNumberFormat="1"/>
    <xf numFmtId="173" fontId="0" fillId="0" borderId="0" xfId="0" applyNumberFormat="1"/>
    <xf numFmtId="167" fontId="0" fillId="0" borderId="0" xfId="0" applyNumberFormat="1"/>
    <xf numFmtId="0" fontId="18" fillId="51" borderId="248" xfId="0" applyFont="1" applyFill="1" applyBorder="1" applyAlignment="1">
      <alignment horizontal="left" vertical="center" wrapText="1" indent="1"/>
    </xf>
    <xf numFmtId="170" fontId="71" fillId="70" borderId="198" xfId="52" applyBorder="1" applyAlignment="1">
      <alignment horizontal="right" vertical="center" indent="2"/>
    </xf>
    <xf numFmtId="170" fontId="71" fillId="70" borderId="256" xfId="52" applyBorder="1">
      <alignment horizontal="right" vertical="center"/>
    </xf>
    <xf numFmtId="0" fontId="18" fillId="51" borderId="105" xfId="0" applyFont="1" applyFill="1" applyBorder="1" applyAlignment="1">
      <alignment horizontal="right" vertical="center" wrapText="1" indent="3"/>
    </xf>
    <xf numFmtId="0" fontId="18" fillId="51" borderId="107" xfId="0" applyFont="1" applyFill="1" applyBorder="1" applyAlignment="1">
      <alignment horizontal="right" vertical="center" wrapText="1" indent="3"/>
    </xf>
    <xf numFmtId="0" fontId="18" fillId="51" borderId="257" xfId="0" applyFont="1" applyFill="1" applyBorder="1" applyAlignment="1">
      <alignment horizontal="right" vertical="center" wrapText="1" indent="3"/>
    </xf>
    <xf numFmtId="0" fontId="19" fillId="0" borderId="14" xfId="0" applyFont="1" applyBorder="1" applyAlignment="1">
      <alignment horizontal="center"/>
    </xf>
    <xf numFmtId="170" fontId="71" fillId="73" borderId="244" xfId="64" applyBorder="1">
      <alignment horizontal="right" vertical="center"/>
    </xf>
    <xf numFmtId="167" fontId="39" fillId="78" borderId="250" xfId="48" applyFill="1" applyBorder="1">
      <alignment horizontal="right"/>
      <protection locked="0"/>
    </xf>
    <xf numFmtId="167" fontId="39" fillId="78" borderId="52" xfId="48" applyFill="1" applyBorder="1">
      <alignment horizontal="right"/>
      <protection locked="0"/>
    </xf>
    <xf numFmtId="167" fontId="39" fillId="78" borderId="150" xfId="48" applyFill="1" applyBorder="1">
      <alignment horizontal="right"/>
      <protection locked="0"/>
    </xf>
    <xf numFmtId="167" fontId="39" fillId="78" borderId="28" xfId="48" applyFill="1" applyBorder="1">
      <alignment horizontal="right"/>
      <protection locked="0"/>
    </xf>
    <xf numFmtId="167" fontId="39" fillId="78" borderId="29" xfId="48" applyFill="1" applyBorder="1">
      <alignment horizontal="right"/>
      <protection locked="0"/>
    </xf>
    <xf numFmtId="167" fontId="39" fillId="78" borderId="187" xfId="48" applyFill="1" applyBorder="1">
      <alignment horizontal="right"/>
      <protection locked="0"/>
    </xf>
    <xf numFmtId="167" fontId="39" fillId="78" borderId="112" xfId="48" applyFill="1" applyBorder="1">
      <alignment horizontal="right"/>
      <protection locked="0"/>
    </xf>
    <xf numFmtId="0" fontId="44" fillId="0" borderId="0" xfId="0" applyFont="1" applyFill="1" applyBorder="1" applyAlignment="1">
      <alignment horizontal="left" indent="1"/>
    </xf>
    <xf numFmtId="167" fontId="39" fillId="78" borderId="71" xfId="48" applyFill="1" applyBorder="1">
      <alignment horizontal="right"/>
      <protection locked="0"/>
    </xf>
    <xf numFmtId="49" fontId="18" fillId="77" borderId="79" xfId="57" applyFill="1" applyBorder="1" applyAlignment="1">
      <alignment horizontal="left" wrapText="1"/>
      <protection locked="0"/>
    </xf>
    <xf numFmtId="49" fontId="18" fillId="69" borderId="81" xfId="57" applyBorder="1" applyAlignment="1">
      <alignment horizontal="left" wrapText="1"/>
      <protection locked="0"/>
    </xf>
    <xf numFmtId="49" fontId="18" fillId="77" borderId="81" xfId="57" applyFill="1" applyBorder="1" applyAlignment="1">
      <alignment horizontal="left" wrapText="1"/>
      <protection locked="0"/>
    </xf>
    <xf numFmtId="49" fontId="18" fillId="69" borderId="224" xfId="57" applyBorder="1" applyAlignment="1">
      <alignment horizontal="left" wrapText="1"/>
      <protection locked="0"/>
    </xf>
    <xf numFmtId="167" fontId="39" fillId="61" borderId="238" xfId="48" applyBorder="1">
      <alignment horizontal="right"/>
      <protection locked="0"/>
    </xf>
    <xf numFmtId="49" fontId="18" fillId="69" borderId="27" xfId="57" applyBorder="1" applyAlignment="1">
      <alignment horizontal="left" vertical="center" wrapText="1" indent="1"/>
      <protection locked="0"/>
    </xf>
    <xf numFmtId="49" fontId="18" fillId="69" borderId="32" xfId="57" applyBorder="1" applyAlignment="1">
      <alignment horizontal="left" vertical="center" wrapText="1" indent="1"/>
      <protection locked="0"/>
    </xf>
    <xf numFmtId="0" fontId="18" fillId="0" borderId="21" xfId="49" applyBorder="1">
      <alignment horizontal="left" vertical="center" wrapText="1" indent="1"/>
    </xf>
    <xf numFmtId="0" fontId="18" fillId="0" borderId="27" xfId="49" applyBorder="1">
      <alignment horizontal="left" vertical="center" wrapText="1" indent="1"/>
    </xf>
    <xf numFmtId="167" fontId="39" fillId="61" borderId="26" xfId="48" applyBorder="1">
      <alignment horizontal="right"/>
      <protection locked="0"/>
    </xf>
    <xf numFmtId="167" fontId="39" fillId="61" borderId="259" xfId="48" applyBorder="1">
      <alignment horizontal="right"/>
      <protection locked="0"/>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76" xfId="49" applyBorder="1">
      <alignment horizontal="left" vertical="center" wrapText="1" indent="1"/>
    </xf>
    <xf numFmtId="170" fontId="71" fillId="70" borderId="245" xfId="52" applyBorder="1">
      <alignment horizontal="right" vertical="center"/>
    </xf>
    <xf numFmtId="170" fontId="71" fillId="70" borderId="243" xfId="52" applyBorder="1">
      <alignment horizontal="right" vertical="center"/>
    </xf>
    <xf numFmtId="0" fontId="21" fillId="54" borderId="193" xfId="55" applyFill="1" applyBorder="1">
      <alignment horizontal="right" vertical="center" wrapText="1" indent="1"/>
    </xf>
    <xf numFmtId="0" fontId="21" fillId="54" borderId="14" xfId="55" applyFill="1" applyBorder="1">
      <alignment horizontal="right" vertical="center" wrapText="1" indent="1"/>
    </xf>
    <xf numFmtId="0" fontId="21" fillId="54" borderId="15" xfId="55" applyFill="1" applyBorder="1">
      <alignment horizontal="right" vertical="center" wrapText="1" indent="1"/>
    </xf>
    <xf numFmtId="0" fontId="21" fillId="45" borderId="13" xfId="54" applyFill="1" applyBorder="1">
      <alignment horizontal="right" vertical="center" wrapText="1" indent="1"/>
    </xf>
    <xf numFmtId="0" fontId="21" fillId="45" borderId="14" xfId="54" applyFill="1" applyBorder="1">
      <alignment horizontal="right" vertical="center" wrapText="1" indent="1"/>
    </xf>
    <xf numFmtId="0" fontId="21" fillId="45" borderId="216" xfId="54" applyFill="1" applyBorder="1">
      <alignment horizontal="right" vertical="center" wrapText="1" indent="1"/>
    </xf>
    <xf numFmtId="167" fontId="39" fillId="78" borderId="27" xfId="48" applyFill="1" applyBorder="1">
      <alignment horizontal="right"/>
      <protection locked="0"/>
    </xf>
    <xf numFmtId="0" fontId="76" fillId="0" borderId="0" xfId="0" applyFont="1"/>
    <xf numFmtId="49" fontId="18" fillId="69" borderId="79" xfId="57" applyBorder="1" applyAlignment="1">
      <alignment horizontal="left"/>
      <protection locked="0"/>
    </xf>
    <xf numFmtId="49" fontId="18" fillId="77" borderId="81" xfId="57" applyFill="1" applyBorder="1" applyAlignment="1">
      <alignment horizontal="left"/>
      <protection locked="0"/>
    </xf>
    <xf numFmtId="49" fontId="18" fillId="69" borderId="81" xfId="57" applyBorder="1" applyAlignment="1">
      <alignment horizontal="left"/>
      <protection locked="0"/>
    </xf>
    <xf numFmtId="49" fontId="18" fillId="69" borderId="224" xfId="57" applyBorder="1" applyAlignment="1">
      <alignment horizontal="left"/>
      <protection locked="0"/>
    </xf>
    <xf numFmtId="0" fontId="77" fillId="0" borderId="14" xfId="0" applyFont="1" applyBorder="1" applyAlignment="1">
      <alignment horizontal="center"/>
    </xf>
    <xf numFmtId="0" fontId="104" fillId="0" borderId="0" xfId="0" applyFont="1" applyAlignment="1">
      <alignment wrapText="1"/>
    </xf>
    <xf numFmtId="49" fontId="18" fillId="43" borderId="22" xfId="56" applyBorder="1" applyAlignment="1" applyProtection="1">
      <alignment wrapText="1"/>
      <protection locked="0"/>
    </xf>
    <xf numFmtId="49" fontId="18" fillId="43" borderId="28" xfId="56" applyBorder="1" applyAlignment="1" applyProtection="1">
      <alignment wrapText="1"/>
      <protection locked="0"/>
    </xf>
    <xf numFmtId="49" fontId="18" fillId="43" borderId="33" xfId="56" applyBorder="1" applyAlignment="1" applyProtection="1">
      <alignment wrapText="1"/>
      <protection locked="0"/>
    </xf>
    <xf numFmtId="49" fontId="18" fillId="43" borderId="23" xfId="56" applyBorder="1" applyAlignment="1" applyProtection="1">
      <alignment wrapText="1"/>
      <protection locked="0"/>
    </xf>
    <xf numFmtId="49" fontId="18" fillId="43" borderId="29" xfId="56" applyBorder="1" applyAlignment="1" applyProtection="1">
      <alignment wrapText="1"/>
      <protection locked="0"/>
    </xf>
    <xf numFmtId="49" fontId="18" fillId="43" borderId="34" xfId="56" applyBorder="1" applyAlignment="1" applyProtection="1">
      <alignment wrapText="1"/>
      <protection locked="0"/>
    </xf>
    <xf numFmtId="0" fontId="18" fillId="0" borderId="258" xfId="49" applyBorder="1">
      <alignment horizontal="left" vertical="center" wrapText="1" indent="1"/>
    </xf>
    <xf numFmtId="0" fontId="18" fillId="33" borderId="0" xfId="0" applyFont="1" applyFill="1" applyAlignment="1">
      <alignment horizontal="left" vertical="center"/>
    </xf>
    <xf numFmtId="0" fontId="0" fillId="0" borderId="0" xfId="0" applyAlignment="1">
      <alignment horizontal="left" vertical="center"/>
    </xf>
    <xf numFmtId="0" fontId="18" fillId="51" borderId="0" xfId="0" applyFont="1" applyFill="1" applyAlignment="1">
      <alignment horizontal="left" vertical="center"/>
    </xf>
    <xf numFmtId="167" fontId="39" fillId="67" borderId="172" xfId="48" applyFill="1" applyBorder="1" applyProtection="1">
      <alignment horizontal="right"/>
    </xf>
    <xf numFmtId="0" fontId="104" fillId="0" borderId="0" xfId="0" applyFont="1"/>
    <xf numFmtId="0" fontId="35" fillId="57" borderId="0" xfId="68">
      <alignment vertical="center"/>
    </xf>
    <xf numFmtId="0" fontId="18" fillId="0" borderId="76" xfId="49" quotePrefix="1">
      <alignment horizontal="left" vertical="center" wrapText="1" indent="1"/>
    </xf>
    <xf numFmtId="0" fontId="40" fillId="0" borderId="91" xfId="49" applyFont="1" applyBorder="1">
      <alignment horizontal="left" vertical="center" wrapText="1" indent="1"/>
    </xf>
    <xf numFmtId="0" fontId="18" fillId="0" borderId="91" xfId="49" applyBorder="1">
      <alignment horizontal="left" vertical="center" wrapText="1" indent="1"/>
    </xf>
    <xf numFmtId="167" fontId="39" fillId="61" borderId="265" xfId="48" applyBorder="1">
      <alignment horizontal="right"/>
      <protection locked="0"/>
    </xf>
    <xf numFmtId="0" fontId="18" fillId="0" borderId="266" xfId="49" applyBorder="1">
      <alignment horizontal="left" vertical="center" wrapText="1" indent="1"/>
    </xf>
    <xf numFmtId="0" fontId="18" fillId="0" borderId="267" xfId="49" applyBorder="1">
      <alignment horizontal="left" vertical="center" wrapText="1" indent="1"/>
    </xf>
    <xf numFmtId="0" fontId="19" fillId="59" borderId="10" xfId="46" applyBorder="1">
      <alignment vertical="center"/>
    </xf>
    <xf numFmtId="0" fontId="19" fillId="59" borderId="11" xfId="46" applyBorder="1">
      <alignment vertical="center"/>
    </xf>
    <xf numFmtId="0" fontId="18" fillId="0" borderId="23" xfId="49" applyBorder="1">
      <alignment horizontal="left" vertical="center" wrapText="1" indent="1"/>
    </xf>
    <xf numFmtId="0" fontId="18" fillId="0" borderId="29" xfId="49" applyBorder="1">
      <alignment horizontal="left" vertical="center" wrapText="1" indent="1"/>
    </xf>
    <xf numFmtId="0" fontId="18" fillId="0" borderId="32" xfId="49" applyBorder="1">
      <alignment horizontal="left" vertical="center" wrapText="1" indent="1"/>
    </xf>
    <xf numFmtId="0" fontId="18" fillId="0" borderId="34" xfId="49" applyBorder="1">
      <alignment horizontal="left" vertical="center" wrapText="1" indent="1"/>
    </xf>
    <xf numFmtId="0" fontId="19" fillId="59" borderId="37" xfId="46" applyBorder="1">
      <alignment vertical="center"/>
    </xf>
    <xf numFmtId="0" fontId="103" fillId="0" borderId="38" xfId="0" applyFont="1" applyBorder="1" applyAlignment="1">
      <alignment horizontal="center"/>
    </xf>
    <xf numFmtId="170" fontId="71" fillId="73" borderId="245" xfId="64" applyBorder="1">
      <alignment horizontal="right" vertical="center"/>
    </xf>
    <xf numFmtId="170" fontId="71" fillId="73" borderId="243" xfId="64" applyBorder="1">
      <alignment horizontal="right" vertical="center"/>
    </xf>
    <xf numFmtId="0" fontId="107" fillId="79" borderId="16" xfId="45" quotePrefix="1" applyBorder="1">
      <alignment vertical="center"/>
    </xf>
    <xf numFmtId="0" fontId="107" fillId="79" borderId="10" xfId="45" quotePrefix="1" applyBorder="1">
      <alignment vertical="center"/>
    </xf>
    <xf numFmtId="167" fontId="39" fillId="78" borderId="21" xfId="48" applyFill="1" applyBorder="1">
      <alignment horizontal="right"/>
      <protection locked="0"/>
    </xf>
    <xf numFmtId="167" fontId="39" fillId="78" borderId="22" xfId="48" applyFill="1" applyBorder="1">
      <alignment horizontal="right"/>
      <protection locked="0"/>
    </xf>
    <xf numFmtId="167" fontId="39" fillId="78" borderId="68" xfId="48" applyFill="1" applyBorder="1">
      <alignment horizontal="right"/>
      <protection locked="0"/>
    </xf>
    <xf numFmtId="167" fontId="39" fillId="78" borderId="23" xfId="48" applyFill="1" applyBorder="1">
      <alignment horizontal="right"/>
      <protection locked="0"/>
    </xf>
    <xf numFmtId="167" fontId="39" fillId="61" borderId="268" xfId="48" applyBorder="1">
      <alignment horizontal="right"/>
      <protection locked="0"/>
    </xf>
    <xf numFmtId="49" fontId="18" fillId="69" borderId="21" xfId="57" applyBorder="1" applyAlignment="1">
      <alignment horizontal="left" vertical="center" wrapText="1" indent="1"/>
      <protection locked="0"/>
    </xf>
    <xf numFmtId="167" fontId="39" fillId="61" borderId="269" xfId="48" applyBorder="1">
      <alignment horizontal="right"/>
      <protection locked="0"/>
    </xf>
    <xf numFmtId="167" fontId="39" fillId="61" borderId="270" xfId="48" applyBorder="1">
      <alignment horizontal="right"/>
      <protection locked="0"/>
    </xf>
    <xf numFmtId="0" fontId="18" fillId="0" borderId="271" xfId="49" applyBorder="1">
      <alignment horizontal="left" vertical="center" wrapText="1" indent="1"/>
    </xf>
    <xf numFmtId="0" fontId="19" fillId="0" borderId="0" xfId="0" applyFont="1" applyBorder="1" applyAlignment="1">
      <alignment horizontal="center" vertical="center" wrapText="1"/>
    </xf>
    <xf numFmtId="49" fontId="18" fillId="69" borderId="236" xfId="57" applyBorder="1" applyAlignment="1" applyProtection="1">
      <alignment horizontal="left" vertical="top" wrapText="1"/>
      <protection locked="0"/>
    </xf>
    <xf numFmtId="49" fontId="18" fillId="43" borderId="92" xfId="56" applyBorder="1" applyAlignment="1" applyProtection="1">
      <protection locked="0"/>
    </xf>
    <xf numFmtId="49" fontId="18" fillId="43" borderId="52" xfId="56" applyBorder="1" applyAlignment="1" applyProtection="1">
      <alignment wrapText="1"/>
      <protection locked="0"/>
    </xf>
    <xf numFmtId="49" fontId="19" fillId="69" borderId="227" xfId="57" applyFont="1" applyBorder="1" applyAlignment="1" applyProtection="1">
      <alignment vertical="center"/>
      <protection locked="0"/>
    </xf>
    <xf numFmtId="167" fontId="0" fillId="80" borderId="177" xfId="48" applyFont="1" applyFill="1" applyBorder="1">
      <alignment horizontal="right"/>
      <protection locked="0"/>
    </xf>
    <xf numFmtId="0" fontId="108" fillId="81" borderId="0" xfId="0" applyFont="1" applyFill="1" applyBorder="1" applyAlignment="1">
      <alignment vertical="center"/>
    </xf>
    <xf numFmtId="0" fontId="0" fillId="81" borderId="0" xfId="0" applyFill="1" applyBorder="1"/>
    <xf numFmtId="0" fontId="1" fillId="34" borderId="14" xfId="0" quotePrefix="1" applyFont="1" applyFill="1" applyBorder="1" applyAlignment="1">
      <alignment horizontal="left" vertical="top"/>
    </xf>
    <xf numFmtId="49" fontId="1" fillId="34" borderId="14" xfId="0" quotePrefix="1" applyNumberFormat="1" applyFont="1" applyFill="1" applyBorder="1" applyAlignment="1">
      <alignment horizontal="left" vertical="top"/>
    </xf>
    <xf numFmtId="0" fontId="13" fillId="35" borderId="10" xfId="0" applyNumberFormat="1" applyFont="1" applyFill="1" applyBorder="1" applyAlignment="1">
      <alignment vertical="top" wrapText="1"/>
    </xf>
    <xf numFmtId="0" fontId="24" fillId="36" borderId="11" xfId="0" applyNumberFormat="1" applyFont="1" applyFill="1" applyBorder="1" applyAlignment="1">
      <alignment horizontal="right" vertical="top" wrapText="1"/>
    </xf>
    <xf numFmtId="0" fontId="24" fillId="37" borderId="11" xfId="0" applyNumberFormat="1" applyFont="1" applyFill="1" applyBorder="1" applyAlignment="1">
      <alignment horizontal="right" vertical="top" wrapText="1"/>
    </xf>
    <xf numFmtId="0" fontId="24" fillId="38" borderId="11" xfId="0" applyNumberFormat="1" applyFont="1" applyFill="1" applyBorder="1" applyAlignment="1">
      <alignment horizontal="right" vertical="top" wrapText="1"/>
    </xf>
    <xf numFmtId="0" fontId="19" fillId="40" borderId="11" xfId="0" applyNumberFormat="1" applyFont="1" applyFill="1" applyBorder="1" applyAlignment="1">
      <alignment vertical="top" wrapText="1"/>
    </xf>
    <xf numFmtId="0" fontId="19" fillId="40" borderId="10" xfId="0" applyNumberFormat="1" applyFont="1" applyFill="1" applyBorder="1" applyAlignment="1">
      <alignment vertical="top" wrapText="1"/>
    </xf>
    <xf numFmtId="0" fontId="19" fillId="40" borderId="36" xfId="0" applyNumberFormat="1" applyFont="1" applyFill="1" applyBorder="1" applyAlignment="1">
      <alignment vertical="top" wrapText="1"/>
    </xf>
    <xf numFmtId="0" fontId="20" fillId="41" borderId="10" xfId="0" applyNumberFormat="1" applyFont="1" applyFill="1" applyBorder="1" applyAlignment="1">
      <alignment vertical="top"/>
    </xf>
    <xf numFmtId="0" fontId="18" fillId="42" borderId="20" xfId="0" applyNumberFormat="1" applyFont="1" applyFill="1" applyBorder="1" applyAlignment="1">
      <alignment vertical="top"/>
    </xf>
    <xf numFmtId="0" fontId="109" fillId="43" borderId="10" xfId="0" applyNumberFormat="1" applyFont="1" applyFill="1" applyBorder="1" applyAlignment="1">
      <alignment horizontal="center"/>
    </xf>
    <xf numFmtId="0" fontId="109" fillId="43" borderId="20" xfId="0" applyNumberFormat="1" applyFont="1" applyFill="1" applyBorder="1" applyAlignment="1">
      <alignment horizontal="center"/>
    </xf>
    <xf numFmtId="0" fontId="109" fillId="43" borderId="36" xfId="0" applyNumberFormat="1" applyFont="1" applyFill="1" applyBorder="1" applyAlignment="1">
      <alignment horizontal="center"/>
    </xf>
    <xf numFmtId="0" fontId="20" fillId="41" borderId="25" xfId="0" applyNumberFormat="1" applyFont="1" applyFill="1" applyBorder="1" applyAlignment="1">
      <alignment vertical="top"/>
    </xf>
    <xf numFmtId="0" fontId="18" fillId="42" borderId="26" xfId="0" applyNumberFormat="1" applyFont="1" applyFill="1" applyBorder="1" applyAlignment="1">
      <alignment vertical="top"/>
    </xf>
    <xf numFmtId="0" fontId="109" fillId="43" borderId="25" xfId="0" applyNumberFormat="1" applyFont="1" applyFill="1" applyBorder="1" applyAlignment="1">
      <alignment horizontal="center"/>
    </xf>
    <xf numFmtId="0" fontId="109" fillId="43" borderId="26" xfId="0" applyNumberFormat="1" applyFont="1" applyFill="1" applyBorder="1" applyAlignment="1">
      <alignment horizontal="center"/>
    </xf>
    <xf numFmtId="0" fontId="109" fillId="43" borderId="84" xfId="0" applyNumberFormat="1" applyFont="1" applyFill="1" applyBorder="1" applyAlignment="1">
      <alignment horizontal="center"/>
    </xf>
    <xf numFmtId="0" fontId="20" fillId="45" borderId="25" xfId="0" applyNumberFormat="1" applyFont="1" applyFill="1" applyBorder="1" applyAlignment="1">
      <alignment vertical="top"/>
    </xf>
    <xf numFmtId="0" fontId="18" fillId="46" borderId="26" xfId="0" applyNumberFormat="1" applyFont="1" applyFill="1" applyBorder="1" applyAlignment="1">
      <alignment vertical="top"/>
    </xf>
    <xf numFmtId="0" fontId="18" fillId="45" borderId="26" xfId="0" applyNumberFormat="1" applyFont="1" applyFill="1" applyBorder="1" applyAlignment="1">
      <alignment vertical="top"/>
    </xf>
    <xf numFmtId="0" fontId="18" fillId="41" borderId="26" xfId="0" applyNumberFormat="1" applyFont="1" applyFill="1" applyBorder="1" applyAlignment="1">
      <alignment vertical="top"/>
    </xf>
    <xf numFmtId="0" fontId="20" fillId="41" borderId="224" xfId="0" applyNumberFormat="1" applyFont="1" applyFill="1" applyBorder="1" applyAlignment="1">
      <alignment vertical="top"/>
    </xf>
    <xf numFmtId="0" fontId="18" fillId="41" borderId="31" xfId="0" applyNumberFormat="1" applyFont="1" applyFill="1" applyBorder="1" applyAlignment="1">
      <alignment vertical="top"/>
    </xf>
    <xf numFmtId="0" fontId="109" fillId="43" borderId="224" xfId="0" applyNumberFormat="1" applyFont="1" applyFill="1" applyBorder="1" applyAlignment="1">
      <alignment horizontal="center"/>
    </xf>
    <xf numFmtId="0" fontId="109" fillId="43" borderId="31" xfId="0" applyNumberFormat="1" applyFont="1" applyFill="1" applyBorder="1" applyAlignment="1">
      <alignment horizontal="center"/>
    </xf>
    <xf numFmtId="0" fontId="109" fillId="43" borderId="60" xfId="0" applyNumberFormat="1" applyFont="1" applyFill="1" applyBorder="1" applyAlignment="1">
      <alignment horizontal="center"/>
    </xf>
    <xf numFmtId="0" fontId="0" fillId="82" borderId="0" xfId="0" applyFill="1"/>
    <xf numFmtId="0" fontId="110" fillId="83" borderId="0" xfId="0" applyFont="1" applyFill="1"/>
    <xf numFmtId="0" fontId="16" fillId="0" borderId="0" xfId="0" applyFont="1"/>
    <xf numFmtId="0" fontId="1" fillId="0" borderId="0" xfId="0" quotePrefix="1" applyFont="1"/>
    <xf numFmtId="0" fontId="0" fillId="0" borderId="0" xfId="0" applyBorder="1"/>
    <xf numFmtId="0" fontId="38" fillId="60" borderId="0" xfId="69" applyBorder="1">
      <alignment vertical="center"/>
    </xf>
    <xf numFmtId="0" fontId="38" fillId="84" borderId="0" xfId="70" applyBorder="1">
      <alignment horizontal="left" vertical="center"/>
    </xf>
    <xf numFmtId="10" fontId="39" fillId="61" borderId="0" xfId="59" applyBorder="1">
      <alignment horizontal="right"/>
      <protection locked="0"/>
    </xf>
    <xf numFmtId="49" fontId="18" fillId="69" borderId="62" xfId="57" applyAlignment="1">
      <protection locked="0"/>
    </xf>
    <xf numFmtId="49" fontId="18" fillId="43" borderId="28" xfId="56" applyAlignment="1" applyProtection="1"/>
    <xf numFmtId="0" fontId="0" fillId="0" borderId="0" xfId="0"/>
    <xf numFmtId="170" fontId="71" fillId="73" borderId="243" xfId="64">
      <alignment horizontal="right" vertical="center"/>
    </xf>
    <xf numFmtId="0" fontId="21" fillId="41" borderId="21" xfId="53" applyBorder="1" applyAlignment="1">
      <alignment vertical="center" wrapText="1"/>
    </xf>
    <xf numFmtId="49" fontId="21" fillId="45" borderId="79" xfId="61" applyBorder="1" applyAlignment="1">
      <alignment vertical="center" wrapText="1"/>
    </xf>
    <xf numFmtId="0" fontId="111" fillId="85" borderId="0" xfId="0" applyFont="1" applyFill="1" applyAlignment="1">
      <alignment horizontal="left"/>
    </xf>
    <xf numFmtId="0" fontId="107" fillId="81" borderId="36" xfId="0" applyFont="1" applyFill="1" applyBorder="1" applyAlignment="1" applyProtection="1">
      <alignment horizontal="center" vertical="center" wrapText="1"/>
    </xf>
    <xf numFmtId="0" fontId="0" fillId="0" borderId="0" xfId="0" applyBorder="1" applyAlignment="1">
      <alignment vertical="top"/>
    </xf>
    <xf numFmtId="0" fontId="20" fillId="48" borderId="61" xfId="0" quotePrefix="1" applyFont="1" applyFill="1" applyBorder="1" applyProtection="1"/>
    <xf numFmtId="0" fontId="20" fillId="48" borderId="61" xfId="0" applyFont="1" applyFill="1" applyBorder="1" applyProtection="1"/>
    <xf numFmtId="0" fontId="20" fillId="48" borderId="236" xfId="0" applyFont="1" applyFill="1" applyBorder="1" applyProtection="1"/>
    <xf numFmtId="0" fontId="20" fillId="48" borderId="62" xfId="0" applyFont="1" applyFill="1" applyBorder="1" applyProtection="1"/>
    <xf numFmtId="0" fontId="20" fillId="48" borderId="55" xfId="0" applyFont="1" applyFill="1" applyBorder="1" applyProtection="1"/>
    <xf numFmtId="0" fontId="20" fillId="0" borderId="55" xfId="0" applyFont="1" applyFill="1" applyBorder="1" applyProtection="1"/>
    <xf numFmtId="0" fontId="20" fillId="0" borderId="65" xfId="0" applyFont="1" applyFill="1" applyBorder="1" applyProtection="1"/>
    <xf numFmtId="0" fontId="20" fillId="0" borderId="60" xfId="0" applyFont="1" applyFill="1" applyBorder="1" applyProtection="1"/>
    <xf numFmtId="0" fontId="20" fillId="44" borderId="46" xfId="0" applyFont="1" applyFill="1" applyBorder="1" applyAlignment="1" applyProtection="1">
      <alignment horizontal="left" vertical="top" wrapText="1"/>
    </xf>
    <xf numFmtId="0" fontId="20" fillId="48" borderId="49" xfId="0" applyFont="1" applyFill="1" applyBorder="1" applyProtection="1"/>
    <xf numFmtId="0" fontId="20" fillId="48" borderId="70" xfId="0" applyFont="1" applyFill="1" applyBorder="1" applyProtection="1"/>
    <xf numFmtId="0" fontId="20" fillId="48" borderId="72" xfId="0" applyFont="1" applyFill="1" applyBorder="1" applyProtection="1"/>
    <xf numFmtId="0" fontId="0" fillId="0" borderId="0" xfId="0" quotePrefix="1" applyNumberFormat="1"/>
    <xf numFmtId="0" fontId="20" fillId="48" borderId="74" xfId="0" applyFont="1" applyFill="1" applyBorder="1" applyProtection="1"/>
    <xf numFmtId="0" fontId="20" fillId="48" borderId="60" xfId="0" applyFont="1" applyFill="1" applyBorder="1" applyProtection="1"/>
    <xf numFmtId="0" fontId="113" fillId="0" borderId="0" xfId="0" applyFont="1"/>
    <xf numFmtId="1" fontId="63" fillId="51" borderId="0" xfId="0" applyNumberFormat="1" applyFont="1" applyFill="1" applyProtection="1"/>
    <xf numFmtId="0" fontId="16" fillId="44" borderId="36" xfId="0" applyFont="1" applyFill="1" applyBorder="1" applyAlignment="1">
      <alignment horizontal="left" vertical="top" wrapText="1"/>
    </xf>
    <xf numFmtId="0" fontId="25" fillId="44" borderId="36" xfId="0" applyFont="1" applyFill="1" applyBorder="1" applyAlignment="1" applyProtection="1">
      <alignment horizontal="left" vertical="top" wrapText="1"/>
    </xf>
    <xf numFmtId="0" fontId="25" fillId="62" borderId="36" xfId="0" applyFont="1" applyFill="1" applyBorder="1" applyAlignment="1" applyProtection="1">
      <alignment horizontal="left" vertical="center" wrapText="1"/>
    </xf>
    <xf numFmtId="0" fontId="19" fillId="62" borderId="36" xfId="0" applyFont="1" applyFill="1" applyBorder="1" applyAlignment="1" applyProtection="1">
      <alignment horizontal="center" vertical="center" wrapText="1"/>
    </xf>
    <xf numFmtId="0" fontId="19" fillId="44" borderId="16" xfId="0" applyFont="1" applyFill="1" applyBorder="1" applyAlignment="1" applyProtection="1">
      <alignment horizontal="centerContinuous" vertical="center" wrapText="1"/>
    </xf>
    <xf numFmtId="0" fontId="19" fillId="44" borderId="19" xfId="0" applyFont="1" applyFill="1" applyBorder="1" applyAlignment="1" applyProtection="1">
      <alignment horizontal="centerContinuous" vertical="center" wrapText="1"/>
    </xf>
    <xf numFmtId="0" fontId="0" fillId="54" borderId="21" xfId="0" applyFill="1" applyBorder="1"/>
    <xf numFmtId="0" fontId="0" fillId="54" borderId="22" xfId="0" applyFill="1" applyBorder="1" applyProtection="1">
      <protection locked="0"/>
    </xf>
    <xf numFmtId="49" fontId="0" fillId="54" borderId="22" xfId="0" applyNumberFormat="1" applyFill="1" applyBorder="1"/>
    <xf numFmtId="0" fontId="0" fillId="54" borderId="22" xfId="0" applyFill="1" applyBorder="1" applyAlignment="1">
      <alignment vertical="center"/>
    </xf>
    <xf numFmtId="49" fontId="0" fillId="54" borderId="110" xfId="0" applyNumberFormat="1" applyFill="1" applyBorder="1"/>
    <xf numFmtId="0" fontId="18" fillId="67" borderId="21" xfId="0" applyFont="1" applyFill="1" applyBorder="1" applyAlignment="1">
      <alignment horizontal="left"/>
    </xf>
    <xf numFmtId="0" fontId="39" fillId="62" borderId="22" xfId="0" applyFont="1" applyFill="1" applyBorder="1"/>
    <xf numFmtId="0" fontId="0" fillId="62" borderId="23" xfId="0" applyFill="1" applyBorder="1" applyAlignment="1" applyProtection="1">
      <alignment horizontal="left" vertical="center"/>
    </xf>
    <xf numFmtId="0" fontId="0" fillId="0" borderId="80" xfId="0" applyBorder="1" applyAlignment="1" applyProtection="1">
      <alignment horizontal="left" vertical="center"/>
    </xf>
    <xf numFmtId="0" fontId="39" fillId="48" borderId="22" xfId="0" applyFont="1" applyFill="1" applyBorder="1"/>
    <xf numFmtId="0" fontId="0" fillId="54" borderId="27" xfId="0" applyFill="1" applyBorder="1"/>
    <xf numFmtId="0" fontId="0" fillId="54" borderId="28" xfId="0" applyFill="1" applyBorder="1" applyProtection="1">
      <protection locked="0"/>
    </xf>
    <xf numFmtId="0" fontId="0" fillId="54" borderId="28" xfId="0" applyFill="1" applyBorder="1"/>
    <xf numFmtId="0" fontId="0" fillId="54" borderId="112" xfId="0" applyFill="1" applyBorder="1"/>
    <xf numFmtId="0" fontId="18" fillId="67" borderId="27" xfId="0" applyFont="1" applyFill="1" applyBorder="1" applyAlignment="1">
      <alignment horizontal="left"/>
    </xf>
    <xf numFmtId="0" fontId="39" fillId="62" borderId="28" xfId="0" applyFont="1" applyFill="1" applyBorder="1"/>
    <xf numFmtId="0" fontId="0" fillId="62" borderId="165" xfId="0" applyFill="1" applyBorder="1" applyAlignment="1" applyProtection="1">
      <alignment horizontal="left" vertical="center"/>
    </xf>
    <xf numFmtId="0" fontId="0" fillId="0" borderId="82" xfId="0" applyBorder="1" applyAlignment="1" applyProtection="1">
      <alignment horizontal="left" vertical="center"/>
    </xf>
    <xf numFmtId="0" fontId="39" fillId="48" borderId="28" xfId="0" applyFont="1" applyFill="1" applyBorder="1"/>
    <xf numFmtId="0" fontId="0" fillId="54" borderId="28" xfId="0" applyFill="1" applyBorder="1" applyAlignment="1">
      <alignment vertical="center"/>
    </xf>
    <xf numFmtId="0" fontId="0" fillId="54" borderId="112" xfId="0" applyFill="1" applyBorder="1" applyAlignment="1">
      <alignment vertical="center"/>
    </xf>
    <xf numFmtId="0" fontId="0" fillId="62" borderId="265" xfId="0" applyFill="1" applyBorder="1" applyProtection="1"/>
    <xf numFmtId="0" fontId="0" fillId="0" borderId="247" xfId="0" applyBorder="1" applyProtection="1"/>
    <xf numFmtId="0" fontId="0" fillId="62" borderId="29" xfId="0" applyFill="1" applyBorder="1" applyProtection="1"/>
    <xf numFmtId="0" fontId="0" fillId="0" borderId="272" xfId="0" applyBorder="1" applyProtection="1"/>
    <xf numFmtId="0" fontId="0" fillId="0" borderId="27" xfId="0" applyBorder="1"/>
    <xf numFmtId="0" fontId="0" fillId="62" borderId="29" xfId="0" applyFill="1" applyBorder="1" applyAlignment="1" applyProtection="1">
      <alignment horizontal="left" vertical="center"/>
    </xf>
    <xf numFmtId="1" fontId="20" fillId="51" borderId="28" xfId="0" applyNumberFormat="1" applyFont="1" applyFill="1" applyBorder="1" applyProtection="1"/>
    <xf numFmtId="0" fontId="0" fillId="62" borderId="165" xfId="0" applyFill="1" applyBorder="1" applyProtection="1"/>
    <xf numFmtId="0" fontId="0" fillId="0" borderId="112" xfId="0" applyBorder="1"/>
    <xf numFmtId="0" fontId="0" fillId="62" borderId="273" xfId="0" applyFill="1" applyBorder="1" applyAlignment="1" applyProtection="1">
      <alignment horizontal="left" vertical="center"/>
    </xf>
    <xf numFmtId="0" fontId="0" fillId="51" borderId="87" xfId="0" applyFill="1" applyBorder="1" applyAlignment="1" applyProtection="1">
      <alignment vertical="center"/>
    </xf>
    <xf numFmtId="0" fontId="0" fillId="0" borderId="109" xfId="0" applyBorder="1" applyAlignment="1" applyProtection="1">
      <alignment horizontal="left" vertical="center"/>
    </xf>
    <xf numFmtId="0" fontId="20" fillId="51" borderId="28" xfId="0" applyFont="1" applyFill="1" applyBorder="1" applyProtection="1"/>
    <xf numFmtId="0" fontId="0" fillId="62" borderId="150" xfId="0" applyFill="1" applyBorder="1" applyAlignment="1" applyProtection="1">
      <alignment horizontal="left" vertical="center"/>
    </xf>
    <xf numFmtId="0" fontId="0" fillId="51" borderId="88" xfId="0" applyFill="1" applyBorder="1" applyAlignment="1" applyProtection="1">
      <alignment vertical="center"/>
    </xf>
    <xf numFmtId="0" fontId="0" fillId="58" borderId="38" xfId="0" applyFill="1" applyBorder="1"/>
    <xf numFmtId="0" fontId="0" fillId="62" borderId="150" xfId="0" applyFill="1" applyBorder="1" applyProtection="1"/>
    <xf numFmtId="0" fontId="0" fillId="51" borderId="80" xfId="0" applyFill="1" applyBorder="1" applyAlignment="1" applyProtection="1">
      <alignment horizontal="left" vertical="center"/>
    </xf>
    <xf numFmtId="0" fontId="0" fillId="51" borderId="247" xfId="0" applyFill="1" applyBorder="1" applyAlignment="1" applyProtection="1">
      <alignment horizontal="left" vertical="center"/>
    </xf>
    <xf numFmtId="0" fontId="0" fillId="51" borderId="39" xfId="0" applyFill="1" applyBorder="1" applyAlignment="1" applyProtection="1">
      <alignment vertical="center"/>
    </xf>
    <xf numFmtId="0" fontId="0" fillId="0" borderId="119" xfId="0" applyBorder="1" applyProtection="1"/>
    <xf numFmtId="0" fontId="0" fillId="51" borderId="82" xfId="0" applyFill="1" applyBorder="1" applyAlignment="1" applyProtection="1">
      <alignment horizontal="left" vertical="center"/>
    </xf>
    <xf numFmtId="0" fontId="0" fillId="51" borderId="109" xfId="0" applyFill="1" applyBorder="1" applyAlignment="1" applyProtection="1">
      <alignment horizontal="left" vertical="center"/>
    </xf>
    <xf numFmtId="0" fontId="0" fillId="0" borderId="28" xfId="0" applyBorder="1" applyAlignment="1">
      <alignment vertical="center"/>
    </xf>
    <xf numFmtId="0" fontId="0" fillId="51" borderId="39" xfId="0" applyFill="1" applyBorder="1" applyAlignment="1" applyProtection="1">
      <alignment vertical="top"/>
    </xf>
    <xf numFmtId="0" fontId="0" fillId="51" borderId="119" xfId="0" applyFill="1" applyBorder="1" applyAlignment="1" applyProtection="1">
      <alignment horizontal="left" vertical="center"/>
    </xf>
    <xf numFmtId="0" fontId="0" fillId="51" borderId="29" xfId="0" applyFill="1" applyBorder="1" applyAlignment="1" applyProtection="1">
      <alignment horizontal="left" vertical="center"/>
    </xf>
    <xf numFmtId="0" fontId="0" fillId="0" borderId="32" xfId="0" applyBorder="1"/>
    <xf numFmtId="0" fontId="0" fillId="0" borderId="31" xfId="0" applyBorder="1"/>
    <xf numFmtId="0" fontId="0" fillId="0" borderId="33" xfId="0" applyBorder="1" applyAlignment="1">
      <alignment vertical="center"/>
    </xf>
    <xf numFmtId="0" fontId="0" fillId="51" borderId="34" xfId="0" applyFill="1" applyBorder="1" applyAlignment="1" applyProtection="1">
      <alignment horizontal="left" vertical="center"/>
    </xf>
    <xf numFmtId="0" fontId="0" fillId="51" borderId="87" xfId="0" applyFill="1" applyBorder="1" applyAlignment="1" applyProtection="1">
      <alignment vertical="top"/>
    </xf>
    <xf numFmtId="0" fontId="0" fillId="51" borderId="236" xfId="0" applyFill="1" applyBorder="1" applyAlignment="1" applyProtection="1">
      <alignment vertical="center"/>
    </xf>
    <xf numFmtId="0" fontId="0" fillId="51" borderId="55" xfId="0" applyFill="1" applyBorder="1" applyAlignment="1" applyProtection="1">
      <alignment vertical="center"/>
    </xf>
    <xf numFmtId="0" fontId="0" fillId="51" borderId="60" xfId="0" applyFill="1" applyBorder="1" applyAlignment="1" applyProtection="1">
      <alignment vertical="center"/>
    </xf>
    <xf numFmtId="0" fontId="0" fillId="58" borderId="15" xfId="0" applyFill="1" applyBorder="1"/>
    <xf numFmtId="49" fontId="0" fillId="54" borderId="23" xfId="0" applyNumberFormat="1" applyFill="1" applyBorder="1"/>
    <xf numFmtId="0" fontId="0" fillId="54" borderId="29" xfId="0" applyFill="1" applyBorder="1"/>
    <xf numFmtId="0" fontId="0" fillId="54" borderId="29" xfId="0" applyFill="1" applyBorder="1" applyAlignment="1">
      <alignment vertical="center"/>
    </xf>
    <xf numFmtId="0" fontId="0" fillId="0" borderId="29" xfId="0" applyBorder="1" applyAlignment="1">
      <alignment vertical="center"/>
    </xf>
    <xf numFmtId="0" fontId="0" fillId="54" borderId="33" xfId="0" applyFill="1" applyBorder="1"/>
    <xf numFmtId="0" fontId="0" fillId="0" borderId="34" xfId="0" applyBorder="1" applyAlignment="1">
      <alignment vertical="center"/>
    </xf>
    <xf numFmtId="0" fontId="115" fillId="85" borderId="0" xfId="0" applyFont="1" applyFill="1" applyAlignment="1">
      <alignment horizontal="left"/>
    </xf>
    <xf numFmtId="0" fontId="0" fillId="85" borderId="0" xfId="0" applyFill="1"/>
    <xf numFmtId="0" fontId="19" fillId="45" borderId="47" xfId="0" applyFont="1" applyFill="1" applyBorder="1" applyAlignment="1">
      <alignment vertical="center" wrapText="1"/>
    </xf>
    <xf numFmtId="0" fontId="19" fillId="86" borderId="48" xfId="0" applyFont="1" applyFill="1" applyBorder="1" applyAlignment="1">
      <alignment vertical="center" wrapText="1"/>
    </xf>
    <xf numFmtId="0" fontId="19" fillId="86" borderId="48" xfId="0" applyFont="1" applyFill="1" applyBorder="1" applyAlignment="1">
      <alignment horizontal="left" vertical="center" wrapText="1"/>
    </xf>
    <xf numFmtId="0" fontId="19" fillId="45" borderId="48" xfId="0" applyFont="1" applyFill="1" applyBorder="1" applyAlignment="1">
      <alignment vertical="center" wrapText="1"/>
    </xf>
    <xf numFmtId="0" fontId="19" fillId="45" borderId="156" xfId="0" applyFont="1" applyFill="1" applyBorder="1" applyAlignment="1">
      <alignment vertical="center" wrapText="1"/>
    </xf>
    <xf numFmtId="0" fontId="32" fillId="54" borderId="21" xfId="0" applyFont="1" applyFill="1" applyBorder="1" applyAlignment="1" applyProtection="1">
      <alignment wrapText="1"/>
    </xf>
    <xf numFmtId="0" fontId="18" fillId="54" borderId="22" xfId="0" applyFont="1" applyFill="1" applyBorder="1" applyAlignment="1" applyProtection="1">
      <alignment wrapText="1"/>
    </xf>
    <xf numFmtId="0" fontId="33" fillId="54" borderId="22" xfId="0" applyFont="1" applyFill="1" applyBorder="1" applyAlignment="1" applyProtection="1">
      <alignment vertical="center"/>
    </xf>
    <xf numFmtId="0" fontId="34" fillId="54" borderId="22" xfId="0" applyFont="1" applyFill="1" applyBorder="1" applyAlignment="1" applyProtection="1">
      <alignment vertical="center" wrapText="1"/>
    </xf>
    <xf numFmtId="0" fontId="34" fillId="54" borderId="23" xfId="0" applyFont="1" applyFill="1" applyBorder="1" applyAlignment="1" applyProtection="1">
      <alignment vertical="center" wrapText="1"/>
    </xf>
    <xf numFmtId="0" fontId="32" fillId="54" borderId="27" xfId="0" applyFont="1" applyFill="1" applyBorder="1" applyAlignment="1" applyProtection="1">
      <alignment wrapText="1"/>
    </xf>
    <xf numFmtId="0" fontId="18" fillId="54" borderId="28" xfId="0" applyFont="1" applyFill="1" applyBorder="1" applyAlignment="1" applyProtection="1">
      <alignment wrapText="1"/>
    </xf>
    <xf numFmtId="0" fontId="33" fillId="54" borderId="28" xfId="0" applyFont="1" applyFill="1" applyBorder="1" applyAlignment="1" applyProtection="1">
      <alignment vertical="center"/>
    </xf>
    <xf numFmtId="0" fontId="34" fillId="54" borderId="28" xfId="0" applyFont="1" applyFill="1" applyBorder="1" applyAlignment="1" applyProtection="1">
      <alignment vertical="center" wrapText="1"/>
    </xf>
    <xf numFmtId="0" fontId="34" fillId="54" borderId="29" xfId="0" applyFont="1" applyFill="1" applyBorder="1" applyAlignment="1" applyProtection="1">
      <alignment vertical="center" wrapText="1"/>
    </xf>
    <xf numFmtId="0" fontId="32" fillId="54" borderId="27" xfId="0" applyNumberFormat="1" applyFont="1" applyFill="1" applyBorder="1" applyAlignment="1" applyProtection="1">
      <alignment wrapText="1"/>
    </xf>
    <xf numFmtId="0" fontId="18" fillId="0" borderId="28" xfId="0" applyFont="1" applyFill="1" applyBorder="1" applyAlignment="1"/>
    <xf numFmtId="0" fontId="18" fillId="0" borderId="29" xfId="0" applyFont="1" applyFill="1" applyBorder="1" applyAlignment="1"/>
    <xf numFmtId="0" fontId="18" fillId="0" borderId="28" xfId="0" applyFont="1" applyFill="1" applyBorder="1" applyAlignment="1">
      <alignment vertical="center"/>
    </xf>
    <xf numFmtId="0" fontId="18" fillId="0" borderId="27" xfId="0" applyFont="1" applyFill="1" applyBorder="1" applyAlignment="1">
      <alignment vertical="center"/>
    </xf>
    <xf numFmtId="0" fontId="18" fillId="0" borderId="32" xfId="0" applyFont="1" applyFill="1" applyBorder="1" applyAlignment="1">
      <alignment vertical="center"/>
    </xf>
    <xf numFmtId="0" fontId="18" fillId="54" borderId="33" xfId="0" applyFont="1" applyFill="1" applyBorder="1" applyAlignment="1" applyProtection="1">
      <alignment wrapText="1"/>
    </xf>
    <xf numFmtId="0" fontId="18" fillId="0" borderId="33" xfId="0" applyFont="1" applyFill="1" applyBorder="1" applyAlignment="1">
      <alignment vertical="center"/>
    </xf>
    <xf numFmtId="0" fontId="18" fillId="0" borderId="33" xfId="0" applyFont="1" applyFill="1" applyBorder="1" applyAlignment="1"/>
    <xf numFmtId="0" fontId="18" fillId="0" borderId="34" xfId="0" applyFont="1" applyFill="1" applyBorder="1" applyAlignment="1"/>
    <xf numFmtId="0" fontId="89" fillId="0" borderId="0" xfId="0" applyFont="1" applyAlignment="1">
      <alignment horizontal="right"/>
    </xf>
    <xf numFmtId="0" fontId="19" fillId="86" borderId="46" xfId="0" applyFont="1" applyFill="1" applyBorder="1" applyAlignment="1">
      <alignment vertical="center" wrapText="1"/>
    </xf>
    <xf numFmtId="0" fontId="22" fillId="54" borderId="236" xfId="0" applyFont="1" applyFill="1" applyBorder="1" applyAlignment="1" applyProtection="1">
      <alignment horizontal="center" vertical="top" wrapText="1"/>
    </xf>
    <xf numFmtId="0" fontId="22" fillId="54" borderId="55" xfId="0" applyFont="1" applyFill="1" applyBorder="1" applyAlignment="1" applyProtection="1">
      <alignment horizontal="center" vertical="top" wrapText="1"/>
    </xf>
    <xf numFmtId="0" fontId="20" fillId="54" borderId="60" xfId="0" applyFont="1" applyFill="1" applyBorder="1" applyAlignment="1" applyProtection="1">
      <alignment horizontal="center" vertical="center"/>
    </xf>
    <xf numFmtId="0" fontId="19" fillId="45" borderId="274" xfId="0" applyFont="1" applyFill="1" applyBorder="1" applyAlignment="1">
      <alignment vertical="center" wrapText="1"/>
    </xf>
    <xf numFmtId="0" fontId="33" fillId="54" borderId="49" xfId="0" applyFont="1" applyFill="1" applyBorder="1" applyAlignment="1" applyProtection="1">
      <alignment horizontal="center" vertical="center"/>
    </xf>
    <xf numFmtId="0" fontId="33" fillId="54" borderId="55" xfId="0" applyFont="1" applyFill="1" applyBorder="1" applyAlignment="1" applyProtection="1">
      <alignment horizontal="center" vertical="center"/>
    </xf>
    <xf numFmtId="0" fontId="33" fillId="54" borderId="60" xfId="0" applyFont="1" applyFill="1" applyBorder="1" applyAlignment="1" applyProtection="1">
      <alignment horizontal="center" vertical="center"/>
    </xf>
    <xf numFmtId="0" fontId="82" fillId="87" borderId="276" xfId="0" applyFont="1" applyFill="1" applyBorder="1" applyAlignment="1">
      <alignment horizontal="center" vertical="center" wrapText="1"/>
    </xf>
    <xf numFmtId="0" fontId="82" fillId="87" borderId="277" xfId="0" applyFont="1" applyFill="1" applyBorder="1" applyAlignment="1">
      <alignment horizontal="center" vertical="center" wrapText="1"/>
    </xf>
    <xf numFmtId="0" fontId="82" fillId="87" borderId="278" xfId="0" applyFont="1" applyFill="1" applyBorder="1" applyAlignment="1">
      <alignment horizontal="center" vertical="center" wrapText="1"/>
    </xf>
    <xf numFmtId="0" fontId="0" fillId="48" borderId="37" xfId="0" applyFill="1" applyBorder="1" applyAlignment="1">
      <alignment horizontal="center"/>
    </xf>
    <xf numFmtId="0" fontId="0" fillId="48" borderId="0" xfId="0" applyFill="1" applyBorder="1" applyAlignment="1">
      <alignment horizontal="center"/>
    </xf>
    <xf numFmtId="0" fontId="0" fillId="48" borderId="52" xfId="0" applyFill="1" applyBorder="1" applyAlignment="1">
      <alignment horizontal="center" vertical="center" wrapText="1"/>
    </xf>
    <xf numFmtId="0" fontId="0" fillId="48" borderId="280" xfId="0" applyFill="1" applyBorder="1" applyAlignment="1">
      <alignment horizontal="center" vertical="center" wrapText="1"/>
    </xf>
    <xf numFmtId="0" fontId="0" fillId="48" borderId="27" xfId="0" applyFill="1" applyBorder="1" applyAlignment="1">
      <alignment horizontal="center" vertical="center" wrapText="1"/>
    </xf>
    <xf numFmtId="0" fontId="0" fillId="48" borderId="28" xfId="0" applyFill="1" applyBorder="1" applyAlignment="1">
      <alignment horizontal="center" vertical="center" wrapText="1"/>
    </xf>
    <xf numFmtId="0" fontId="0" fillId="0" borderId="281" xfId="0" applyBorder="1"/>
    <xf numFmtId="0" fontId="0" fillId="0" borderId="27" xfId="0" applyBorder="1" applyAlignment="1">
      <alignment vertical="center"/>
    </xf>
    <xf numFmtId="0" fontId="0" fillId="48" borderId="33" xfId="0" applyFill="1" applyBorder="1" applyAlignment="1">
      <alignment horizontal="center" vertical="center" wrapText="1"/>
    </xf>
    <xf numFmtId="0" fontId="0" fillId="0" borderId="282" xfId="0" applyBorder="1"/>
    <xf numFmtId="0" fontId="113" fillId="0" borderId="283" xfId="0" applyFont="1" applyBorder="1"/>
    <xf numFmtId="0" fontId="0" fillId="0" borderId="284" xfId="0" applyBorder="1"/>
    <xf numFmtId="0" fontId="13" fillId="88" borderId="0" xfId="0" applyFont="1" applyFill="1" applyBorder="1" applyAlignment="1">
      <alignment horizontal="centerContinuous"/>
    </xf>
    <xf numFmtId="0" fontId="82" fillId="87" borderId="285" xfId="0" applyFont="1" applyFill="1" applyBorder="1" applyAlignment="1">
      <alignment horizontal="center" vertical="center" wrapText="1"/>
    </xf>
    <xf numFmtId="0" fontId="82" fillId="87" borderId="286" xfId="0" applyFont="1" applyFill="1" applyBorder="1" applyAlignment="1">
      <alignment horizontal="center" vertical="center" wrapText="1"/>
    </xf>
    <xf numFmtId="0" fontId="82" fillId="87" borderId="287" xfId="0" applyFont="1" applyFill="1" applyBorder="1" applyAlignment="1">
      <alignment horizontal="center" vertical="center" wrapText="1"/>
    </xf>
    <xf numFmtId="0" fontId="0" fillId="48" borderId="54" xfId="0" applyFill="1" applyBorder="1" applyAlignment="1">
      <alignment horizontal="center"/>
    </xf>
    <xf numFmtId="0" fontId="0" fillId="0" borderId="52" xfId="0" applyBorder="1"/>
    <xf numFmtId="0" fontId="0" fillId="48" borderId="53" xfId="0" applyFill="1" applyBorder="1" applyAlignment="1">
      <alignment horizontal="center" vertical="center" wrapText="1"/>
    </xf>
    <xf numFmtId="0" fontId="0" fillId="48" borderId="58" xfId="0" applyFill="1" applyBorder="1" applyAlignment="1">
      <alignment horizontal="center"/>
    </xf>
    <xf numFmtId="0" fontId="0" fillId="48" borderId="59" xfId="0" applyFill="1" applyBorder="1" applyAlignment="1">
      <alignment horizontal="center" vertical="center" wrapText="1"/>
    </xf>
    <xf numFmtId="0" fontId="0" fillId="48" borderId="290" xfId="0" applyFill="1" applyBorder="1" applyAlignment="1">
      <alignment horizontal="center"/>
    </xf>
    <xf numFmtId="0" fontId="0" fillId="0" borderId="291" xfId="0" applyBorder="1"/>
    <xf numFmtId="0" fontId="0" fillId="0" borderId="292" xfId="0" applyBorder="1"/>
    <xf numFmtId="0" fontId="0" fillId="0" borderId="293" xfId="0" applyBorder="1"/>
    <xf numFmtId="0" fontId="82" fillId="87" borderId="46" xfId="0" applyFont="1" applyFill="1" applyBorder="1" applyAlignment="1">
      <alignment horizontal="center" vertical="center" wrapText="1"/>
    </xf>
    <xf numFmtId="0" fontId="0" fillId="48" borderId="55" xfId="0" applyFill="1" applyBorder="1" applyAlignment="1">
      <alignment horizontal="center"/>
    </xf>
    <xf numFmtId="0" fontId="0" fillId="48" borderId="60" xfId="0" applyFill="1" applyBorder="1" applyAlignment="1">
      <alignment horizontal="center"/>
    </xf>
    <xf numFmtId="0" fontId="82" fillId="89" borderId="254" xfId="0" applyFont="1" applyFill="1" applyBorder="1" applyAlignment="1">
      <alignment vertical="center" wrapText="1"/>
    </xf>
    <xf numFmtId="0" fontId="82" fillId="89" borderId="294" xfId="0" applyFont="1" applyFill="1" applyBorder="1" applyAlignment="1">
      <alignment vertical="center" wrapText="1"/>
    </xf>
    <xf numFmtId="0" fontId="82" fillId="89" borderId="295" xfId="0" applyFont="1" applyFill="1" applyBorder="1" applyAlignment="1">
      <alignment vertical="center" wrapText="1"/>
    </xf>
    <xf numFmtId="0" fontId="0" fillId="90" borderId="21" xfId="0" applyFill="1" applyBorder="1" applyAlignment="1">
      <alignment horizontal="center" vertical="center" wrapText="1"/>
    </xf>
    <xf numFmtId="0" fontId="0" fillId="90" borderId="22" xfId="0" applyFill="1" applyBorder="1" applyAlignment="1">
      <alignment horizontal="center" vertical="center" wrapText="1"/>
    </xf>
    <xf numFmtId="0" fontId="0" fillId="0" borderId="23" xfId="0" applyBorder="1"/>
    <xf numFmtId="0" fontId="0" fillId="90" borderId="27" xfId="0" applyFill="1" applyBorder="1" applyAlignment="1">
      <alignment horizontal="center" vertical="center" wrapText="1"/>
    </xf>
    <xf numFmtId="0" fontId="0" fillId="90" borderId="28" xfId="0" applyFill="1" applyBorder="1" applyAlignment="1">
      <alignment horizontal="center" vertical="center" wrapText="1"/>
    </xf>
    <xf numFmtId="0" fontId="0" fillId="0" borderId="29" xfId="0" applyBorder="1"/>
    <xf numFmtId="0" fontId="0" fillId="90" borderId="32" xfId="0" applyFill="1" applyBorder="1" applyAlignment="1">
      <alignment horizontal="center" vertical="center" wrapText="1"/>
    </xf>
    <xf numFmtId="0" fontId="0" fillId="0" borderId="34" xfId="0" applyBorder="1"/>
    <xf numFmtId="0" fontId="19" fillId="91" borderId="90" xfId="0" applyFont="1" applyFill="1" applyBorder="1" applyAlignment="1">
      <alignment horizontal="center" vertical="center" wrapText="1"/>
    </xf>
    <xf numFmtId="0" fontId="19" fillId="91" borderId="95" xfId="0" applyFont="1" applyFill="1" applyBorder="1" applyAlignment="1">
      <alignment horizontal="center" vertical="center" wrapText="1"/>
    </xf>
    <xf numFmtId="0" fontId="19" fillId="91" borderId="96" xfId="0" applyFont="1" applyFill="1" applyBorder="1" applyAlignment="1">
      <alignment horizontal="center" vertical="center" wrapText="1"/>
    </xf>
    <xf numFmtId="0" fontId="0" fillId="50" borderId="13" xfId="0" applyFill="1" applyBorder="1" applyAlignment="1"/>
    <xf numFmtId="0" fontId="0" fillId="50" borderId="14" xfId="0" applyFill="1" applyBorder="1" applyAlignment="1"/>
    <xf numFmtId="0" fontId="0" fillId="50" borderId="15" xfId="0" applyFill="1" applyBorder="1" applyAlignment="1"/>
    <xf numFmtId="0" fontId="19" fillId="91" borderId="66" xfId="0" applyFont="1" applyFill="1" applyBorder="1" applyAlignment="1">
      <alignment horizontal="center" vertical="center" wrapText="1"/>
    </xf>
    <xf numFmtId="0" fontId="19" fillId="91" borderId="296" xfId="0" applyFont="1" applyFill="1" applyBorder="1" applyAlignment="1">
      <alignment horizontal="center" vertical="center" wrapText="1"/>
    </xf>
    <xf numFmtId="0" fontId="16" fillId="91" borderId="24" xfId="0" applyFont="1" applyFill="1" applyBorder="1" applyAlignment="1">
      <alignment vertical="center"/>
    </xf>
    <xf numFmtId="0" fontId="0" fillId="50" borderId="21" xfId="0" applyFill="1" applyBorder="1" applyAlignment="1">
      <alignment horizontal="left" vertical="center" wrapText="1"/>
    </xf>
    <xf numFmtId="0" fontId="0" fillId="50" borderId="22" xfId="0" applyFill="1" applyBorder="1" applyAlignment="1">
      <alignment horizontal="left"/>
    </xf>
    <xf numFmtId="0" fontId="0" fillId="50" borderId="23" xfId="0" applyFill="1" applyBorder="1" applyAlignment="1">
      <alignment horizontal="left"/>
    </xf>
    <xf numFmtId="0" fontId="0" fillId="50" borderId="27" xfId="0" applyFill="1" applyBorder="1" applyAlignment="1">
      <alignment horizontal="left" vertical="center" wrapText="1"/>
    </xf>
    <xf numFmtId="0" fontId="0" fillId="50" borderId="28" xfId="0" applyFill="1" applyBorder="1" applyAlignment="1">
      <alignment horizontal="left" vertical="top"/>
    </xf>
    <xf numFmtId="0" fontId="0" fillId="0" borderId="29" xfId="0" applyBorder="1" applyAlignment="1">
      <alignment horizontal="left"/>
    </xf>
    <xf numFmtId="0" fontId="0" fillId="50" borderId="32" xfId="0" applyFill="1" applyBorder="1" applyAlignment="1">
      <alignment horizontal="left" vertical="center" wrapText="1"/>
    </xf>
    <xf numFmtId="0" fontId="0" fillId="0" borderId="33" xfId="0" applyBorder="1" applyAlignment="1">
      <alignment horizontal="left" vertical="top"/>
    </xf>
    <xf numFmtId="0" fontId="0" fillId="0" borderId="34" xfId="0" applyBorder="1" applyAlignment="1">
      <alignment horizontal="left"/>
    </xf>
    <xf numFmtId="0" fontId="19" fillId="50" borderId="16" xfId="0" applyFont="1" applyFill="1" applyBorder="1" applyAlignment="1">
      <alignment vertical="center"/>
    </xf>
    <xf numFmtId="0" fontId="19" fillId="0" borderId="0" xfId="0" applyFont="1" applyBorder="1" applyAlignment="1">
      <alignment vertical="center"/>
    </xf>
    <xf numFmtId="0" fontId="18" fillId="0" borderId="0" xfId="0" applyFont="1" applyBorder="1" applyAlignment="1">
      <alignment horizontal="left" indent="3"/>
    </xf>
    <xf numFmtId="0" fontId="117" fillId="0" borderId="90" xfId="0" applyFont="1" applyBorder="1" applyAlignment="1">
      <alignment horizontal="center" vertical="center" wrapText="1"/>
    </xf>
    <xf numFmtId="0" fontId="117" fillId="0" borderId="95" xfId="0" applyFont="1" applyBorder="1" applyAlignment="1">
      <alignment horizontal="center" vertical="center" wrapText="1"/>
    </xf>
    <xf numFmtId="0" fontId="117" fillId="0" borderId="96" xfId="0" applyFont="1" applyBorder="1" applyAlignment="1">
      <alignment horizontal="center" vertical="center" wrapText="1"/>
    </xf>
    <xf numFmtId="3" fontId="19" fillId="62" borderId="216" xfId="0" applyNumberFormat="1" applyFont="1" applyFill="1" applyBorder="1" applyAlignment="1" applyProtection="1">
      <alignment horizontal="left" vertical="center" wrapText="1"/>
    </xf>
    <xf numFmtId="3" fontId="19" fillId="62" borderId="297" xfId="0" applyNumberFormat="1" applyFont="1" applyFill="1" applyBorder="1" applyAlignment="1" applyProtection="1">
      <alignment horizontal="left" vertical="center" wrapText="1"/>
      <protection locked="0"/>
    </xf>
    <xf numFmtId="168" fontId="19" fillId="62" borderId="297" xfId="0" applyNumberFormat="1" applyFont="1" applyFill="1" applyBorder="1" applyAlignment="1" applyProtection="1">
      <alignment horizontal="left" vertical="center" wrapText="1"/>
      <protection locked="0"/>
    </xf>
    <xf numFmtId="168" fontId="19" fillId="62" borderId="298" xfId="0" applyNumberFormat="1" applyFont="1" applyFill="1" applyBorder="1" applyAlignment="1" applyProtection="1">
      <alignment horizontal="left" vertical="center" wrapText="1"/>
      <protection locked="0"/>
    </xf>
    <xf numFmtId="0" fontId="0" fillId="0" borderId="0" xfId="0" applyBorder="1" applyAlignment="1">
      <alignment horizontal="left" vertical="center"/>
    </xf>
    <xf numFmtId="0" fontId="117" fillId="0" borderId="10" xfId="0" applyFont="1" applyBorder="1" applyAlignment="1">
      <alignment horizontal="center" vertical="center" wrapText="1"/>
    </xf>
    <xf numFmtId="0" fontId="117" fillId="0" borderId="11" xfId="0" applyFont="1" applyBorder="1" applyAlignment="1">
      <alignment horizontal="center" vertical="center" wrapText="1"/>
    </xf>
    <xf numFmtId="0" fontId="117" fillId="0" borderId="12" xfId="0" applyFont="1" applyBorder="1" applyAlignment="1">
      <alignment horizontal="center" vertical="center" wrapText="1"/>
    </xf>
    <xf numFmtId="14" fontId="0" fillId="45" borderId="46" xfId="0" applyNumberFormat="1" applyFill="1" applyBorder="1" applyAlignment="1">
      <alignment horizontal="left" vertical="center"/>
    </xf>
    <xf numFmtId="0" fontId="117" fillId="0" borderId="16" xfId="0" applyFont="1" applyBorder="1" applyAlignment="1">
      <alignment horizontal="center" vertical="center"/>
    </xf>
    <xf numFmtId="0" fontId="117" fillId="0" borderId="18" xfId="0" applyFont="1" applyBorder="1" applyAlignment="1">
      <alignment horizontal="center" vertical="center"/>
    </xf>
    <xf numFmtId="0" fontId="117" fillId="0" borderId="19" xfId="0" applyFont="1" applyBorder="1" applyAlignment="1">
      <alignment horizontal="center" vertical="center"/>
    </xf>
    <xf numFmtId="14" fontId="19" fillId="45" borderId="46" xfId="0" applyNumberFormat="1" applyFont="1" applyFill="1" applyBorder="1" applyAlignment="1">
      <alignment horizontal="left" vertical="center"/>
    </xf>
    <xf numFmtId="0" fontId="19" fillId="86" borderId="0" xfId="0" applyFont="1" applyFill="1" applyBorder="1" applyAlignment="1">
      <alignment horizontal="right" vertical="center" wrapText="1"/>
    </xf>
    <xf numFmtId="0" fontId="118" fillId="0" borderId="16" xfId="0" applyFont="1" applyBorder="1" applyAlignment="1">
      <alignment horizontal="right" vertical="center"/>
    </xf>
    <xf numFmtId="0" fontId="47" fillId="53" borderId="0" xfId="0" applyFont="1" applyFill="1" applyAlignment="1">
      <alignment vertical="center"/>
    </xf>
    <xf numFmtId="0" fontId="16" fillId="53" borderId="0" xfId="0" applyFont="1" applyFill="1" applyBorder="1" applyAlignment="1">
      <alignment vertical="center"/>
    </xf>
    <xf numFmtId="0" fontId="16" fillId="53" borderId="0" xfId="0" applyFont="1" applyFill="1" applyAlignment="1">
      <alignment vertical="center"/>
    </xf>
    <xf numFmtId="0" fontId="0" fillId="0" borderId="0" xfId="0" applyBorder="1" applyAlignment="1">
      <alignment horizontal="left"/>
    </xf>
    <xf numFmtId="0" fontId="118" fillId="0" borderId="46" xfId="0" applyFont="1" applyBorder="1" applyAlignment="1">
      <alignment horizontal="right"/>
    </xf>
    <xf numFmtId="169" fontId="19" fillId="45" borderId="102" xfId="0" applyNumberFormat="1" applyFont="1" applyFill="1" applyBorder="1" applyAlignment="1">
      <alignment horizontal="center" vertical="center" wrapText="1"/>
    </xf>
    <xf numFmtId="169" fontId="19" fillId="54" borderId="97" xfId="0" applyNumberFormat="1" applyFont="1" applyFill="1" applyBorder="1" applyAlignment="1">
      <alignment horizontal="left" vertical="center" wrapText="1"/>
    </xf>
    <xf numFmtId="0" fontId="18" fillId="0" borderId="0" xfId="0" applyFont="1" applyBorder="1" applyAlignment="1">
      <alignment horizontal="right" vertical="center"/>
    </xf>
    <xf numFmtId="169" fontId="19" fillId="54" borderId="198" xfId="0" applyNumberFormat="1" applyFont="1" applyFill="1" applyBorder="1" applyAlignment="1">
      <alignment horizontal="center" vertical="center" wrapText="1"/>
    </xf>
    <xf numFmtId="169" fontId="19" fillId="54" borderId="95" xfId="0" applyNumberFormat="1" applyFont="1" applyFill="1" applyBorder="1" applyAlignment="1">
      <alignment horizontal="left" vertical="center" wrapText="1"/>
    </xf>
    <xf numFmtId="169" fontId="46" fillId="51" borderId="198" xfId="0" applyNumberFormat="1" applyFont="1" applyFill="1" applyBorder="1"/>
    <xf numFmtId="0" fontId="119" fillId="0" borderId="0" xfId="0" applyFont="1" applyFill="1" applyBorder="1" applyAlignment="1">
      <alignment vertical="center"/>
    </xf>
    <xf numFmtId="0" fontId="47" fillId="54" borderId="0" xfId="0" applyFont="1" applyFill="1"/>
    <xf numFmtId="0" fontId="119" fillId="54" borderId="0" xfId="0" applyFont="1" applyFill="1" applyBorder="1" applyAlignment="1">
      <alignment vertical="center"/>
    </xf>
    <xf numFmtId="0" fontId="0" fillId="0" borderId="0" xfId="0" applyFill="1" applyAlignment="1">
      <alignment horizontal="left" vertical="top"/>
    </xf>
    <xf numFmtId="0" fontId="48" fillId="54" borderId="0" xfId="0" applyFont="1" applyFill="1" applyAlignment="1">
      <alignment vertical="top"/>
    </xf>
    <xf numFmtId="0" fontId="47" fillId="0" borderId="0" xfId="0" applyFont="1" applyFill="1"/>
    <xf numFmtId="0" fontId="20" fillId="51" borderId="0" xfId="0" applyFont="1" applyFill="1" applyAlignment="1" applyProtection="1">
      <alignment horizontal="left"/>
    </xf>
    <xf numFmtId="0" fontId="21" fillId="47" borderId="0" xfId="0" applyFont="1" applyFill="1" applyAlignment="1" applyProtection="1">
      <alignment horizontal="left" vertical="top"/>
    </xf>
    <xf numFmtId="0" fontId="21" fillId="47" borderId="0" xfId="0" applyFont="1" applyFill="1" applyAlignment="1" applyProtection="1">
      <alignment horizontal="center" vertical="top"/>
    </xf>
    <xf numFmtId="14" fontId="0" fillId="0" borderId="0" xfId="0" applyNumberFormat="1" applyAlignment="1">
      <alignment vertical="center" wrapText="1"/>
    </xf>
    <xf numFmtId="0" fontId="19" fillId="53" borderId="10" xfId="0" applyNumberFormat="1" applyFont="1" applyFill="1" applyBorder="1" applyAlignment="1">
      <alignment horizontal="left" vertical="center" wrapText="1"/>
    </xf>
    <xf numFmtId="0" fontId="19" fillId="53" borderId="40" xfId="0" applyNumberFormat="1" applyFont="1" applyFill="1" applyBorder="1" applyAlignment="1">
      <alignment horizontal="center" vertical="center" wrapText="1"/>
    </xf>
    <xf numFmtId="0" fontId="82" fillId="92" borderId="40" xfId="0" applyNumberFormat="1" applyFont="1" applyFill="1" applyBorder="1" applyAlignment="1">
      <alignment horizontal="center" vertical="center" wrapText="1"/>
    </xf>
    <xf numFmtId="1" fontId="82" fillId="92" borderId="40" xfId="0" applyNumberFormat="1" applyFont="1" applyFill="1" applyBorder="1" applyAlignment="1">
      <alignment horizontal="center" vertical="center" wrapText="1"/>
    </xf>
    <xf numFmtId="0" fontId="19" fillId="35" borderId="10" xfId="0" applyNumberFormat="1" applyFont="1" applyFill="1" applyBorder="1" applyAlignment="1">
      <alignment horizontal="center" vertical="center" wrapText="1"/>
    </xf>
    <xf numFmtId="0" fontId="19" fillId="35" borderId="20" xfId="0" applyNumberFormat="1" applyFont="1" applyFill="1" applyBorder="1" applyAlignment="1">
      <alignment horizontal="center" vertical="center" wrapText="1"/>
    </xf>
    <xf numFmtId="0" fontId="19" fillId="50" borderId="24" xfId="0" applyNumberFormat="1" applyFont="1" applyFill="1" applyBorder="1" applyAlignment="1">
      <alignment vertical="center" wrapText="1"/>
    </xf>
    <xf numFmtId="0" fontId="19" fillId="0" borderId="299" xfId="0" applyNumberFormat="1" applyFont="1" applyBorder="1" applyAlignment="1">
      <alignment vertical="center" wrapText="1"/>
    </xf>
    <xf numFmtId="0" fontId="18" fillId="55" borderId="10" xfId="0" applyNumberFormat="1" applyFont="1" applyFill="1" applyBorder="1" applyAlignment="1">
      <alignment horizontal="left" vertical="top"/>
    </xf>
    <xf numFmtId="0" fontId="18" fillId="93" borderId="10" xfId="0" applyNumberFormat="1" applyFont="1" applyFill="1" applyBorder="1" applyAlignment="1">
      <alignment horizontal="center" vertical="top"/>
    </xf>
    <xf numFmtId="0" fontId="18" fillId="55" borderId="11" xfId="0" applyNumberFormat="1" applyFont="1" applyFill="1" applyBorder="1" applyAlignment="1">
      <alignment horizontal="center" vertical="top"/>
    </xf>
    <xf numFmtId="0" fontId="18" fillId="55" borderId="24" xfId="0" applyNumberFormat="1" applyFont="1" applyFill="1" applyBorder="1" applyAlignment="1">
      <alignment horizontal="center"/>
    </xf>
    <xf numFmtId="0" fontId="18" fillId="0" borderId="25" xfId="0" applyNumberFormat="1" applyFont="1" applyBorder="1" applyAlignment="1">
      <alignment horizontal="left" vertical="top"/>
    </xf>
    <xf numFmtId="1" fontId="20" fillId="0" borderId="30" xfId="0" applyNumberFormat="1" applyFont="1" applyBorder="1" applyAlignment="1">
      <alignment horizontal="center" vertical="top"/>
    </xf>
    <xf numFmtId="0" fontId="18" fillId="0" borderId="30" xfId="0" applyNumberFormat="1" applyFont="1" applyBorder="1" applyAlignment="1">
      <alignment horizontal="center" vertical="top"/>
    </xf>
    <xf numFmtId="0" fontId="18" fillId="0" borderId="238" xfId="0" applyNumberFormat="1" applyFont="1" applyBorder="1" applyAlignment="1">
      <alignment horizontal="center"/>
    </xf>
    <xf numFmtId="0" fontId="18" fillId="55" borderId="25" xfId="0" applyNumberFormat="1" applyFont="1" applyFill="1" applyBorder="1" applyAlignment="1">
      <alignment horizontal="left" vertical="top"/>
    </xf>
    <xf numFmtId="0" fontId="18" fillId="93" borderId="25" xfId="0" applyNumberFormat="1" applyFont="1" applyFill="1" applyBorder="1" applyAlignment="1">
      <alignment horizontal="center" vertical="top"/>
    </xf>
    <xf numFmtId="1" fontId="20" fillId="93" borderId="26" xfId="0" applyNumberFormat="1" applyFont="1" applyFill="1" applyBorder="1" applyAlignment="1">
      <alignment horizontal="center" vertical="top"/>
    </xf>
    <xf numFmtId="1" fontId="20" fillId="93" borderId="30" xfId="0" applyNumberFormat="1" applyFont="1" applyFill="1" applyBorder="1" applyAlignment="1">
      <alignment horizontal="center" vertical="top"/>
    </xf>
    <xf numFmtId="0" fontId="18" fillId="55" borderId="30" xfId="0" applyNumberFormat="1" applyFont="1" applyFill="1" applyBorder="1" applyAlignment="1">
      <alignment horizontal="center" vertical="top"/>
    </xf>
    <xf numFmtId="0" fontId="18" fillId="55" borderId="238" xfId="0" applyNumberFormat="1" applyFont="1" applyFill="1" applyBorder="1" applyAlignment="1">
      <alignment horizontal="center"/>
    </xf>
    <xf numFmtId="0" fontId="21" fillId="56" borderId="300" xfId="0" applyFont="1" applyFill="1" applyBorder="1" applyAlignment="1">
      <alignment vertical="center" wrapText="1"/>
    </xf>
    <xf numFmtId="0" fontId="21" fillId="56" borderId="301" xfId="0" applyFont="1" applyFill="1" applyBorder="1" applyAlignment="1">
      <alignment vertical="center" wrapText="1"/>
    </xf>
    <xf numFmtId="49" fontId="21" fillId="56" borderId="11" xfId="0" applyNumberFormat="1" applyFont="1" applyFill="1" applyBorder="1" applyAlignment="1">
      <alignment vertical="center" wrapText="1"/>
    </xf>
    <xf numFmtId="49" fontId="21" fillId="56" borderId="302" xfId="0" applyNumberFormat="1" applyFont="1" applyFill="1" applyBorder="1" applyAlignment="1">
      <alignment vertical="center" wrapText="1"/>
    </xf>
    <xf numFmtId="49" fontId="20" fillId="56" borderId="10" xfId="0" applyNumberFormat="1" applyFont="1" applyFill="1" applyBorder="1"/>
    <xf numFmtId="49" fontId="26" fillId="56" borderId="10" xfId="0" applyNumberFormat="1" applyFont="1" applyFill="1" applyBorder="1"/>
    <xf numFmtId="0" fontId="20" fillId="56" borderId="36" xfId="0" applyNumberFormat="1" applyFont="1" applyFill="1" applyBorder="1" applyAlignment="1">
      <alignment vertical="center"/>
    </xf>
    <xf numFmtId="49" fontId="20" fillId="56" borderId="300" xfId="0" applyNumberFormat="1" applyFont="1" applyFill="1" applyBorder="1"/>
    <xf numFmtId="49" fontId="26" fillId="56" borderId="300" xfId="0" applyNumberFormat="1" applyFont="1" applyFill="1" applyBorder="1"/>
    <xf numFmtId="0" fontId="0" fillId="56" borderId="84" xfId="0" applyNumberFormat="1" applyFont="1" applyFill="1" applyBorder="1"/>
    <xf numFmtId="0" fontId="20" fillId="56" borderId="84" xfId="0" applyNumberFormat="1" applyFont="1" applyFill="1" applyBorder="1" applyAlignment="1">
      <alignment vertical="center"/>
    </xf>
    <xf numFmtId="49" fontId="20" fillId="56" borderId="303" xfId="0" applyNumberFormat="1" applyFont="1" applyFill="1" applyBorder="1"/>
    <xf numFmtId="49" fontId="26" fillId="56" borderId="303" xfId="0" applyNumberFormat="1" applyFont="1" applyFill="1" applyBorder="1"/>
    <xf numFmtId="0" fontId="20" fillId="56" borderId="60" xfId="0" applyNumberFormat="1" applyFont="1" applyFill="1" applyBorder="1" applyAlignment="1">
      <alignment vertical="center"/>
    </xf>
    <xf numFmtId="1" fontId="25" fillId="51" borderId="0" xfId="0" applyNumberFormat="1" applyFont="1" applyFill="1" applyAlignment="1" applyProtection="1">
      <alignment horizontal="center"/>
    </xf>
    <xf numFmtId="0" fontId="16" fillId="0" borderId="0" xfId="0" quotePrefix="1" applyFont="1" applyAlignment="1">
      <alignment horizontal="left"/>
    </xf>
    <xf numFmtId="0" fontId="16" fillId="0" borderId="0" xfId="0" quotePrefix="1" applyFont="1"/>
    <xf numFmtId="0" fontId="0" fillId="0" borderId="111" xfId="0" applyBorder="1" applyAlignment="1">
      <alignment horizontal="right"/>
    </xf>
    <xf numFmtId="0" fontId="0" fillId="41" borderId="49" xfId="0" applyFill="1" applyBorder="1" applyAlignment="1">
      <alignment horizontal="left"/>
    </xf>
    <xf numFmtId="0" fontId="31" fillId="66" borderId="18" xfId="0" applyFont="1" applyFill="1" applyBorder="1" applyAlignment="1" applyProtection="1">
      <alignment horizontal="center"/>
    </xf>
    <xf numFmtId="0" fontId="0" fillId="0" borderId="104" xfId="0" applyBorder="1" applyAlignment="1">
      <alignment horizontal="right"/>
    </xf>
    <xf numFmtId="0" fontId="0" fillId="41" borderId="55" xfId="0" applyFill="1" applyBorder="1" applyAlignment="1">
      <alignment horizontal="left"/>
    </xf>
    <xf numFmtId="0" fontId="0" fillId="41" borderId="55" xfId="0" quotePrefix="1" applyFill="1" applyBorder="1" applyAlignment="1">
      <alignment horizontal="left"/>
    </xf>
    <xf numFmtId="0" fontId="0" fillId="0" borderId="118" xfId="0" applyBorder="1" applyAlignment="1">
      <alignment horizontal="right"/>
    </xf>
    <xf numFmtId="0" fontId="0" fillId="0" borderId="35" xfId="0" applyBorder="1" applyAlignment="1">
      <alignment horizontal="right"/>
    </xf>
    <xf numFmtId="0" fontId="0" fillId="41" borderId="60" xfId="0" quotePrefix="1" applyFill="1" applyBorder="1" applyAlignment="1">
      <alignment horizontal="left"/>
    </xf>
    <xf numFmtId="0" fontId="0" fillId="0" borderId="21" xfId="0" applyBorder="1"/>
    <xf numFmtId="0" fontId="16" fillId="0" borderId="23" xfId="0" applyFont="1" applyBorder="1"/>
    <xf numFmtId="0" fontId="0" fillId="0" borderId="27" xfId="0" applyFill="1" applyBorder="1" applyAlignment="1">
      <alignment horizontal="right"/>
    </xf>
    <xf numFmtId="0" fontId="0" fillId="54" borderId="29" xfId="0" quotePrefix="1" applyFill="1" applyBorder="1" applyAlignment="1">
      <alignment horizontal="left"/>
    </xf>
    <xf numFmtId="0" fontId="20" fillId="51" borderId="0" xfId="0" quotePrefix="1" applyFont="1" applyFill="1" applyAlignment="1" applyProtection="1">
      <alignment horizontal="left"/>
    </xf>
    <xf numFmtId="0" fontId="0" fillId="0" borderId="32" xfId="0" applyFill="1" applyBorder="1" applyAlignment="1">
      <alignment horizontal="right"/>
    </xf>
    <xf numFmtId="0" fontId="0" fillId="54" borderId="34" xfId="0" quotePrefix="1" applyFill="1" applyBorder="1" applyAlignment="1">
      <alignment horizontal="left"/>
    </xf>
    <xf numFmtId="0" fontId="0" fillId="0" borderId="0" xfId="0" quotePrefix="1" applyAlignment="1">
      <alignment horizontal="center"/>
    </xf>
    <xf numFmtId="0" fontId="44" fillId="0" borderId="10" xfId="0" applyFont="1" applyFill="1" applyBorder="1" applyAlignment="1" applyProtection="1">
      <alignment horizontal="left"/>
    </xf>
    <xf numFmtId="0" fontId="20" fillId="51" borderId="11" xfId="0" applyFont="1" applyFill="1" applyBorder="1" applyProtection="1"/>
    <xf numFmtId="0" fontId="0" fillId="0" borderId="11" xfId="0" applyFill="1" applyBorder="1"/>
    <xf numFmtId="0" fontId="44" fillId="51" borderId="37" xfId="0" applyFont="1" applyFill="1" applyBorder="1" applyProtection="1"/>
    <xf numFmtId="0" fontId="20" fillId="51" borderId="38" xfId="0" applyFont="1" applyFill="1" applyBorder="1" applyProtection="1"/>
    <xf numFmtId="0" fontId="44" fillId="0" borderId="13" xfId="0" applyFont="1" applyFill="1" applyBorder="1" applyProtection="1"/>
    <xf numFmtId="0" fontId="20" fillId="51" borderId="14" xfId="0" applyFont="1" applyFill="1" applyBorder="1" applyProtection="1"/>
    <xf numFmtId="0" fontId="20" fillId="51" borderId="15" xfId="0" applyFont="1" applyFill="1" applyBorder="1" applyProtection="1"/>
    <xf numFmtId="0" fontId="0" fillId="0" borderId="18" xfId="0" applyBorder="1"/>
    <xf numFmtId="0" fontId="0" fillId="0" borderId="109" xfId="0" applyBorder="1"/>
    <xf numFmtId="0" fontId="18" fillId="48" borderId="37" xfId="0" applyFont="1" applyFill="1" applyBorder="1" applyAlignment="1" applyProtection="1">
      <alignment horizontal="left" indent="2"/>
      <protection locked="0"/>
    </xf>
    <xf numFmtId="0" fontId="19" fillId="44" borderId="0" xfId="0" applyFont="1" applyFill="1" applyBorder="1" applyAlignment="1" applyProtection="1">
      <alignment horizontal="left"/>
      <protection locked="0"/>
    </xf>
    <xf numFmtId="0" fontId="46" fillId="44" borderId="0" xfId="0" applyFont="1" applyFill="1" applyBorder="1" applyAlignment="1" applyProtection="1">
      <alignment horizontal="left"/>
      <protection locked="0"/>
    </xf>
    <xf numFmtId="0" fontId="46" fillId="48" borderId="0" xfId="0" applyFont="1" applyFill="1" applyBorder="1" applyAlignment="1" applyProtection="1">
      <alignment horizontal="left"/>
      <protection locked="0"/>
    </xf>
    <xf numFmtId="0" fontId="20" fillId="48" borderId="0" xfId="0" applyFont="1" applyFill="1" applyBorder="1" applyAlignment="1" applyProtection="1">
      <alignment horizontal="left"/>
      <protection locked="0"/>
    </xf>
    <xf numFmtId="0" fontId="20" fillId="48" borderId="38" xfId="0" applyFont="1" applyFill="1" applyBorder="1" applyAlignment="1" applyProtection="1">
      <alignment horizontal="left"/>
      <protection locked="0"/>
    </xf>
    <xf numFmtId="0" fontId="0" fillId="0" borderId="0" xfId="0" applyAlignment="1">
      <alignment horizontal="right"/>
    </xf>
    <xf numFmtId="0" fontId="18" fillId="48" borderId="86" xfId="0" applyFont="1" applyFill="1" applyBorder="1" applyAlignment="1" applyProtection="1">
      <alignment horizontal="left" indent="2"/>
      <protection locked="0"/>
    </xf>
    <xf numFmtId="0" fontId="19" fillId="43" borderId="99" xfId="0" applyFont="1" applyFill="1" applyBorder="1" applyAlignment="1" applyProtection="1">
      <alignment horizontal="left"/>
      <protection locked="0"/>
    </xf>
    <xf numFmtId="0" fontId="46" fillId="48" borderId="99" xfId="0" applyFont="1" applyFill="1" applyBorder="1" applyAlignment="1" applyProtection="1">
      <alignment horizontal="left"/>
      <protection locked="0"/>
    </xf>
    <xf numFmtId="0" fontId="52" fillId="48" borderId="99" xfId="0" applyFont="1" applyFill="1" applyBorder="1" applyAlignment="1" applyProtection="1">
      <alignment horizontal="left" vertical="top"/>
      <protection locked="0"/>
    </xf>
    <xf numFmtId="0" fontId="20" fillId="48" borderId="99" xfId="0" applyFont="1" applyFill="1" applyBorder="1" applyAlignment="1" applyProtection="1">
      <alignment horizontal="left"/>
      <protection locked="0"/>
    </xf>
    <xf numFmtId="0" fontId="20" fillId="48" borderId="149" xfId="0" applyFont="1" applyFill="1" applyBorder="1" applyAlignment="1" applyProtection="1">
      <alignment horizontal="left"/>
      <protection locked="0"/>
    </xf>
    <xf numFmtId="0" fontId="19" fillId="69" borderId="0" xfId="0" applyFont="1" applyFill="1" applyBorder="1" applyAlignment="1" applyProtection="1">
      <alignment horizontal="left"/>
      <protection locked="0"/>
    </xf>
    <xf numFmtId="0" fontId="52" fillId="48" borderId="0" xfId="0" applyFont="1" applyFill="1" applyBorder="1" applyAlignment="1" applyProtection="1">
      <alignment horizontal="left" vertical="top"/>
      <protection locked="0"/>
    </xf>
    <xf numFmtId="0" fontId="25" fillId="48" borderId="0" xfId="0" applyFont="1" applyFill="1" applyBorder="1" applyAlignment="1" applyProtection="1">
      <alignment horizontal="left" wrapText="1"/>
      <protection locked="0"/>
    </xf>
    <xf numFmtId="0" fontId="25" fillId="48" borderId="38" xfId="0" applyFont="1" applyFill="1" applyBorder="1" applyAlignment="1" applyProtection="1">
      <alignment horizontal="left" wrapText="1"/>
      <protection locked="0"/>
    </xf>
    <xf numFmtId="0" fontId="18" fillId="48" borderId="37" xfId="0" applyFont="1" applyFill="1" applyBorder="1" applyAlignment="1" applyProtection="1">
      <alignment horizontal="left" vertical="center" indent="2"/>
      <protection locked="0"/>
    </xf>
    <xf numFmtId="0" fontId="46" fillId="48" borderId="0" xfId="0" applyFont="1" applyFill="1" applyBorder="1" applyAlignment="1" applyProtection="1">
      <alignment horizontal="left" vertical="center"/>
      <protection locked="0"/>
    </xf>
    <xf numFmtId="0" fontId="18" fillId="48" borderId="13" xfId="0" applyFont="1" applyFill="1" applyBorder="1" applyAlignment="1" applyProtection="1">
      <alignment horizontal="left" vertical="top" indent="2"/>
      <protection locked="0"/>
    </xf>
    <xf numFmtId="14" fontId="18" fillId="69" borderId="14" xfId="0" quotePrefix="1" applyNumberFormat="1" applyFont="1" applyFill="1" applyBorder="1" applyAlignment="1" applyProtection="1">
      <alignment horizontal="left" vertical="top"/>
      <protection locked="0"/>
    </xf>
    <xf numFmtId="0" fontId="53" fillId="48" borderId="14" xfId="0" applyFont="1" applyFill="1" applyBorder="1" applyAlignment="1" applyProtection="1">
      <alignment horizontal="left"/>
      <protection locked="0"/>
    </xf>
    <xf numFmtId="0" fontId="52" fillId="48" borderId="14" xfId="0" applyFont="1" applyFill="1" applyBorder="1" applyAlignment="1" applyProtection="1">
      <alignment horizontal="left" vertical="top"/>
      <protection locked="0"/>
    </xf>
    <xf numFmtId="0" fontId="46" fillId="48" borderId="14" xfId="0" applyFont="1" applyFill="1" applyBorder="1" applyAlignment="1" applyProtection="1">
      <alignment horizontal="left" vertical="top"/>
      <protection locked="0"/>
    </xf>
    <xf numFmtId="0" fontId="46" fillId="48" borderId="15" xfId="0" applyFont="1" applyFill="1" applyBorder="1" applyAlignment="1" applyProtection="1">
      <alignment horizontal="left" vertical="top"/>
      <protection locked="0"/>
    </xf>
    <xf numFmtId="0" fontId="18" fillId="48" borderId="90" xfId="0" applyFont="1" applyFill="1" applyBorder="1" applyAlignment="1" applyProtection="1">
      <alignment horizontal="left" indent="2"/>
    </xf>
    <xf numFmtId="0" fontId="18" fillId="69" borderId="95" xfId="0" applyFont="1" applyFill="1" applyBorder="1" applyAlignment="1" applyProtection="1">
      <alignment horizontal="center"/>
      <protection locked="0"/>
    </xf>
    <xf numFmtId="0" fontId="20" fillId="48" borderId="95" xfId="0" applyFont="1" applyFill="1" applyBorder="1" applyProtection="1"/>
    <xf numFmtId="0" fontId="20" fillId="48" borderId="96" xfId="0" applyFont="1" applyFill="1" applyBorder="1" applyProtection="1"/>
    <xf numFmtId="0" fontId="18" fillId="48" borderId="250" xfId="0" applyFont="1" applyFill="1" applyBorder="1" applyAlignment="1" applyProtection="1">
      <alignment horizontal="left" vertical="top" indent="2"/>
    </xf>
    <xf numFmtId="0" fontId="18" fillId="48" borderId="195" xfId="0" applyFont="1" applyFill="1" applyBorder="1" applyAlignment="1" applyProtection="1">
      <alignment horizontal="left" vertical="top" indent="2"/>
    </xf>
    <xf numFmtId="0" fontId="18" fillId="48" borderId="196" xfId="0" applyFont="1" applyFill="1" applyBorder="1" applyAlignment="1" applyProtection="1">
      <alignment horizontal="left" vertical="top" indent="2"/>
    </xf>
    <xf numFmtId="0" fontId="41" fillId="59" borderId="305" xfId="0" applyFont="1" applyFill="1" applyBorder="1" applyProtection="1"/>
    <xf numFmtId="0" fontId="42" fillId="59" borderId="274" xfId="0" applyFont="1" applyFill="1" applyBorder="1" applyProtection="1"/>
    <xf numFmtId="0" fontId="32" fillId="59" borderId="274" xfId="0" applyFont="1" applyFill="1" applyBorder="1"/>
    <xf numFmtId="0" fontId="32" fillId="59" borderId="295" xfId="0" applyFont="1" applyFill="1" applyBorder="1"/>
    <xf numFmtId="0" fontId="18" fillId="48" borderId="92" xfId="0" applyFont="1" applyFill="1" applyBorder="1" applyAlignment="1" applyProtection="1">
      <alignment horizontal="left" vertical="center"/>
      <protection locked="0"/>
    </xf>
    <xf numFmtId="0" fontId="18" fillId="48" borderId="52" xfId="0" quotePrefix="1" applyFont="1" applyFill="1" applyBorder="1" applyAlignment="1" applyProtection="1">
      <alignment horizontal="center" vertical="center"/>
    </xf>
    <xf numFmtId="0" fontId="0" fillId="48" borderId="52" xfId="0" applyFill="1" applyBorder="1" applyAlignment="1">
      <alignment vertical="center"/>
    </xf>
    <xf numFmtId="0" fontId="0" fillId="48" borderId="22" xfId="0" applyFill="1" applyBorder="1" applyAlignment="1">
      <alignment vertical="center"/>
    </xf>
    <xf numFmtId="0" fontId="0" fillId="48" borderId="23" xfId="0" applyFill="1" applyBorder="1" applyAlignment="1">
      <alignment vertical="center"/>
    </xf>
    <xf numFmtId="0" fontId="18" fillId="48" borderId="27" xfId="0" applyFont="1" applyFill="1" applyBorder="1" applyAlignment="1" applyProtection="1">
      <alignment horizontal="left" vertical="center"/>
    </xf>
    <xf numFmtId="0" fontId="46" fillId="48" borderId="28" xfId="0" applyFont="1" applyFill="1" applyBorder="1" applyAlignment="1" applyProtection="1">
      <alignment vertical="center"/>
    </xf>
    <xf numFmtId="0" fontId="46" fillId="48" borderId="28" xfId="0" quotePrefix="1" applyFont="1" applyFill="1" applyBorder="1" applyAlignment="1" applyProtection="1">
      <alignment vertical="center"/>
    </xf>
    <xf numFmtId="0" fontId="0" fillId="48" borderId="28" xfId="0" applyFill="1" applyBorder="1" applyAlignment="1">
      <alignment vertical="center"/>
    </xf>
    <xf numFmtId="0" fontId="0" fillId="48" borderId="29" xfId="0" applyFill="1" applyBorder="1" applyAlignment="1">
      <alignment vertical="center"/>
    </xf>
    <xf numFmtId="0" fontId="18" fillId="48" borderId="27" xfId="0" applyFont="1" applyFill="1" applyBorder="1" applyAlignment="1" applyProtection="1">
      <alignment horizontal="left" vertical="top" indent="1"/>
    </xf>
    <xf numFmtId="0" fontId="0" fillId="48" borderId="28" xfId="0" applyFill="1" applyBorder="1"/>
    <xf numFmtId="0" fontId="0" fillId="48" borderId="29" xfId="0" applyFill="1" applyBorder="1"/>
    <xf numFmtId="0" fontId="18" fillId="48" borderId="32" xfId="0" applyFont="1" applyFill="1" applyBorder="1" applyAlignment="1" applyProtection="1">
      <alignment horizontal="left" vertical="top" indent="1"/>
    </xf>
    <xf numFmtId="0" fontId="18" fillId="48" borderId="33" xfId="0" quotePrefix="1" applyFont="1" applyFill="1" applyBorder="1" applyAlignment="1" applyProtection="1">
      <alignment horizontal="center" vertical="top"/>
    </xf>
    <xf numFmtId="0" fontId="46" fillId="48" borderId="33" xfId="0" applyFont="1" applyFill="1" applyBorder="1" applyAlignment="1" applyProtection="1">
      <alignment vertical="top"/>
    </xf>
    <xf numFmtId="0" fontId="0" fillId="48" borderId="33" xfId="0" applyFill="1" applyBorder="1"/>
    <xf numFmtId="0" fontId="0" fillId="48" borderId="34" xfId="0" applyFill="1" applyBorder="1"/>
    <xf numFmtId="0" fontId="41" fillId="59" borderId="306" xfId="0" applyFont="1" applyFill="1" applyBorder="1" applyProtection="1"/>
    <xf numFmtId="0" fontId="42" fillId="59" borderId="307" xfId="0" applyFont="1" applyFill="1" applyBorder="1" applyProtection="1"/>
    <xf numFmtId="0" fontId="32" fillId="59" borderId="307" xfId="0" applyFont="1" applyFill="1" applyBorder="1"/>
    <xf numFmtId="0" fontId="32" fillId="59" borderId="308" xfId="0" applyFont="1" applyFill="1" applyBorder="1"/>
    <xf numFmtId="0" fontId="18" fillId="48" borderId="27" xfId="0" applyFont="1" applyFill="1" applyBorder="1" applyAlignment="1" applyProtection="1">
      <alignment horizontal="left" vertical="center" indent="2"/>
    </xf>
    <xf numFmtId="0" fontId="18" fillId="48" borderId="28" xfId="0" applyFont="1" applyFill="1" applyBorder="1" applyAlignment="1" applyProtection="1">
      <alignment horizontal="center" vertical="center"/>
    </xf>
    <xf numFmtId="0" fontId="46" fillId="48" borderId="112" xfId="0" quotePrefix="1" applyFont="1" applyFill="1" applyBorder="1" applyAlignment="1" applyProtection="1">
      <alignment vertical="center"/>
    </xf>
    <xf numFmtId="0" fontId="46" fillId="48" borderId="104" xfId="0" applyFont="1" applyFill="1" applyBorder="1" applyAlignment="1" applyProtection="1">
      <alignment vertical="center"/>
    </xf>
    <xf numFmtId="0" fontId="0" fillId="48" borderId="104" xfId="0" applyFill="1" applyBorder="1" applyAlignment="1">
      <alignment vertical="center"/>
    </xf>
    <xf numFmtId="0" fontId="0" fillId="48" borderId="82" xfId="0" applyFill="1" applyBorder="1" applyAlignment="1">
      <alignment vertical="center"/>
    </xf>
    <xf numFmtId="0" fontId="0" fillId="36" borderId="10" xfId="0" applyFill="1" applyBorder="1" applyAlignment="1">
      <alignment horizontal="left" indent="1"/>
    </xf>
    <xf numFmtId="0" fontId="14" fillId="41" borderId="10" xfId="0" applyFont="1" applyFill="1" applyBorder="1" applyAlignment="1">
      <alignment horizontal="center"/>
    </xf>
    <xf numFmtId="0" fontId="0" fillId="36" borderId="73" xfId="0" applyFill="1" applyBorder="1" applyAlignment="1">
      <alignment horizontal="left"/>
    </xf>
    <xf numFmtId="0" fontId="0" fillId="36" borderId="190" xfId="0" applyFill="1" applyBorder="1"/>
    <xf numFmtId="0" fontId="0" fillId="36" borderId="191" xfId="0" applyFill="1" applyBorder="1"/>
    <xf numFmtId="0" fontId="0" fillId="36" borderId="37" xfId="0" applyFill="1" applyBorder="1" applyAlignment="1">
      <alignment horizontal="left" indent="1"/>
    </xf>
    <xf numFmtId="0" fontId="14" fillId="41" borderId="37" xfId="0" applyFont="1" applyFill="1" applyBorder="1" applyAlignment="1">
      <alignment horizontal="center"/>
    </xf>
    <xf numFmtId="0" fontId="0" fillId="36" borderId="37" xfId="0" applyFill="1" applyBorder="1" applyAlignment="1">
      <alignment horizontal="left"/>
    </xf>
    <xf numFmtId="0" fontId="0" fillId="36" borderId="0" xfId="0" applyFill="1" applyBorder="1"/>
    <xf numFmtId="0" fontId="0" fillId="36" borderId="38" xfId="0" applyFill="1" applyBorder="1"/>
    <xf numFmtId="0" fontId="0" fillId="36" borderId="310" xfId="0" applyFill="1" applyBorder="1" applyAlignment="1">
      <alignment horizontal="left" indent="1"/>
    </xf>
    <xf numFmtId="0" fontId="0" fillId="41" borderId="310" xfId="0" quotePrefix="1" applyFill="1" applyBorder="1" applyAlignment="1">
      <alignment horizontal="center"/>
    </xf>
    <xf numFmtId="0" fontId="0" fillId="36" borderId="249" xfId="0" applyFill="1" applyBorder="1" applyAlignment="1">
      <alignment horizontal="left"/>
    </xf>
    <xf numFmtId="0" fontId="0" fillId="36" borderId="118" xfId="0" applyFill="1" applyBorder="1"/>
    <xf numFmtId="0" fontId="0" fillId="36" borderId="119" xfId="0" applyFill="1" applyBorder="1"/>
    <xf numFmtId="0" fontId="0" fillId="36" borderId="81" xfId="0" applyFill="1" applyBorder="1" applyAlignment="1">
      <alignment horizontal="left" indent="1"/>
    </xf>
    <xf numFmtId="0" fontId="0" fillId="41" borderId="81" xfId="0" applyFill="1" applyBorder="1" applyAlignment="1">
      <alignment horizontal="center"/>
    </xf>
    <xf numFmtId="0" fontId="0" fillId="36" borderId="81" xfId="0" applyFill="1" applyBorder="1" applyAlignment="1">
      <alignment horizontal="left"/>
    </xf>
    <xf numFmtId="0" fontId="0" fillId="36" borderId="104" xfId="0" applyFill="1" applyBorder="1"/>
    <xf numFmtId="0" fontId="0" fillId="36" borderId="82" xfId="0" applyFill="1" applyBorder="1"/>
    <xf numFmtId="0" fontId="0" fillId="36" borderId="25" xfId="0" applyFill="1" applyBorder="1" applyAlignment="1">
      <alignment horizontal="left" indent="1"/>
    </xf>
    <xf numFmtId="0" fontId="0" fillId="41" borderId="25" xfId="0" applyFill="1" applyBorder="1" applyAlignment="1">
      <alignment horizontal="center"/>
    </xf>
    <xf numFmtId="0" fontId="0" fillId="36" borderId="248" xfId="0" applyFill="1" applyBorder="1" applyAlignment="1">
      <alignment horizontal="left"/>
    </xf>
    <xf numFmtId="0" fontId="0" fillId="36" borderId="106" xfId="0" applyFill="1" applyBorder="1"/>
    <xf numFmtId="0" fontId="0" fillId="36" borderId="247" xfId="0" applyFill="1" applyBorder="1"/>
    <xf numFmtId="0" fontId="0" fillId="41" borderId="310" xfId="0" applyFill="1" applyBorder="1" applyAlignment="1">
      <alignment horizontal="center"/>
    </xf>
    <xf numFmtId="0" fontId="0" fillId="36" borderId="248" xfId="0" applyFill="1" applyBorder="1" applyAlignment="1">
      <alignment horizontal="left" indent="1"/>
    </xf>
    <xf numFmtId="0" fontId="0" fillId="41" borderId="248" xfId="0" applyFill="1" applyBorder="1" applyAlignment="1">
      <alignment horizontal="center"/>
    </xf>
    <xf numFmtId="0" fontId="14" fillId="41" borderId="248" xfId="0" applyFont="1" applyFill="1" applyBorder="1" applyAlignment="1">
      <alignment horizontal="center"/>
    </xf>
    <xf numFmtId="0" fontId="0" fillId="41" borderId="37" xfId="0" applyFill="1" applyBorder="1" applyAlignment="1">
      <alignment horizontal="center"/>
    </xf>
    <xf numFmtId="0" fontId="0" fillId="36" borderId="78" xfId="0" applyFill="1" applyBorder="1" applyAlignment="1">
      <alignment horizontal="left"/>
    </xf>
    <xf numFmtId="0" fontId="0" fillId="36" borderId="100" xfId="0" applyFill="1" applyBorder="1"/>
    <xf numFmtId="0" fontId="0" fillId="36" borderId="30" xfId="0" applyFill="1" applyBorder="1"/>
    <xf numFmtId="0" fontId="0" fillId="36" borderId="124" xfId="0" applyFill="1" applyBorder="1"/>
    <xf numFmtId="0" fontId="0" fillId="36" borderId="83" xfId="0" applyFill="1" applyBorder="1" applyAlignment="1">
      <alignment horizontal="left" indent="1"/>
    </xf>
    <xf numFmtId="0" fontId="0" fillId="41" borderId="83" xfId="0" applyFill="1" applyBorder="1" applyAlignment="1">
      <alignment horizontal="center"/>
    </xf>
    <xf numFmtId="0" fontId="0" fillId="36" borderId="249" xfId="0" applyFill="1" applyBorder="1" applyAlignment="1">
      <alignment horizontal="left" indent="1"/>
    </xf>
    <xf numFmtId="0" fontId="0" fillId="41" borderId="249" xfId="0" applyFill="1" applyBorder="1" applyAlignment="1">
      <alignment horizontal="center"/>
    </xf>
    <xf numFmtId="0" fontId="0" fillId="36" borderId="104" xfId="0" quotePrefix="1" applyFill="1" applyBorder="1"/>
    <xf numFmtId="0" fontId="0" fillId="36" borderId="224" xfId="0" applyFill="1" applyBorder="1" applyAlignment="1">
      <alignment horizontal="left" indent="1"/>
    </xf>
    <xf numFmtId="0" fontId="0" fillId="41" borderId="224" xfId="0" applyFill="1" applyBorder="1" applyAlignment="1">
      <alignment horizontal="center"/>
    </xf>
    <xf numFmtId="0" fontId="0" fillId="36" borderId="224" xfId="0" applyFill="1" applyBorder="1" applyAlignment="1">
      <alignment horizontal="left"/>
    </xf>
    <xf numFmtId="0" fontId="0" fillId="36" borderId="35" xfId="0" applyFill="1" applyBorder="1"/>
    <xf numFmtId="0" fontId="0" fillId="36" borderId="85" xfId="0" applyFill="1" applyBorder="1"/>
    <xf numFmtId="0" fontId="19" fillId="37" borderId="92" xfId="0" applyFont="1" applyFill="1" applyBorder="1" applyAlignment="1" applyProtection="1">
      <alignment horizontal="left"/>
    </xf>
    <xf numFmtId="0" fontId="66" fillId="37" borderId="28" xfId="0" quotePrefix="1" applyFont="1" applyFill="1" applyBorder="1" applyAlignment="1" applyProtection="1">
      <alignment horizontal="center" vertical="center"/>
    </xf>
    <xf numFmtId="0" fontId="46" fillId="37" borderId="125" xfId="0" quotePrefix="1" applyFont="1" applyFill="1" applyBorder="1" applyAlignment="1" applyProtection="1">
      <alignment vertical="top"/>
    </xf>
    <xf numFmtId="0" fontId="46" fillId="37" borderId="311" xfId="0" quotePrefix="1" applyFont="1" applyFill="1" applyBorder="1" applyAlignment="1" applyProtection="1">
      <alignment vertical="top"/>
    </xf>
    <xf numFmtId="0" fontId="46" fillId="37" borderId="312" xfId="0" applyFont="1" applyFill="1" applyBorder="1" applyAlignment="1" applyProtection="1">
      <alignment vertical="top"/>
    </xf>
    <xf numFmtId="0" fontId="0" fillId="37" borderId="312" xfId="0" applyFill="1" applyBorder="1"/>
    <xf numFmtId="0" fontId="0" fillId="37" borderId="313" xfId="0" applyFill="1" applyBorder="1"/>
    <xf numFmtId="0" fontId="18" fillId="37" borderId="92" xfId="0" applyFont="1" applyFill="1" applyBorder="1" applyAlignment="1" applyProtection="1">
      <alignment horizontal="left" vertical="top" indent="4"/>
    </xf>
    <xf numFmtId="0" fontId="18" fillId="37" borderId="28" xfId="0" applyFont="1" applyFill="1" applyBorder="1" applyAlignment="1">
      <alignment horizontal="center" vertical="top"/>
    </xf>
    <xf numFmtId="0" fontId="46" fillId="37" borderId="52" xfId="0" quotePrefix="1" applyFont="1" applyFill="1" applyBorder="1" applyAlignment="1" applyProtection="1">
      <alignment vertical="center"/>
    </xf>
    <xf numFmtId="0" fontId="51" fillId="37" borderId="117" xfId="0" applyFont="1" applyFill="1" applyBorder="1" applyAlignment="1" applyProtection="1">
      <alignment horizontal="left" vertical="center"/>
    </xf>
    <xf numFmtId="0" fontId="46" fillId="37" borderId="118" xfId="0" applyFont="1" applyFill="1" applyBorder="1" applyAlignment="1" applyProtection="1">
      <alignment vertical="center"/>
    </xf>
    <xf numFmtId="0" fontId="0" fillId="37" borderId="118" xfId="0" applyFill="1" applyBorder="1" applyAlignment="1">
      <alignment vertical="center"/>
    </xf>
    <xf numFmtId="0" fontId="0" fillId="37" borderId="119" xfId="0" applyFill="1" applyBorder="1" applyAlignment="1">
      <alignment vertical="center"/>
    </xf>
    <xf numFmtId="0" fontId="18" fillId="37" borderId="118" xfId="0" applyFont="1" applyFill="1" applyBorder="1" applyAlignment="1">
      <alignment horizontal="center" vertical="center" wrapText="1"/>
    </xf>
    <xf numFmtId="0" fontId="51" fillId="37" borderId="112" xfId="0" applyFont="1" applyFill="1" applyBorder="1" applyAlignment="1" applyProtection="1">
      <alignment horizontal="left" vertical="center"/>
    </xf>
    <xf numFmtId="0" fontId="46" fillId="37" borderId="104" xfId="0" applyFont="1" applyFill="1" applyBorder="1" applyAlignment="1" applyProtection="1">
      <alignment vertical="center"/>
    </xf>
    <xf numFmtId="0" fontId="0" fillId="37" borderId="104" xfId="0" applyFill="1" applyBorder="1" applyAlignment="1">
      <alignment vertical="center"/>
    </xf>
    <xf numFmtId="0" fontId="0" fillId="37" borderId="82" xfId="0" applyFill="1" applyBorder="1" applyAlignment="1">
      <alignment vertical="center"/>
    </xf>
    <xf numFmtId="0" fontId="18" fillId="37" borderId="127" xfId="0" applyFont="1" applyFill="1" applyBorder="1" applyAlignment="1" applyProtection="1">
      <alignment horizontal="left" vertical="top" indent="4"/>
    </xf>
    <xf numFmtId="0" fontId="18" fillId="37" borderId="52" xfId="0" applyFont="1" applyFill="1" applyBorder="1" applyAlignment="1" applyProtection="1">
      <alignment horizontal="center" vertical="top"/>
    </xf>
    <xf numFmtId="0" fontId="46" fillId="37" borderId="0" xfId="0" quotePrefix="1" applyFont="1" applyFill="1" applyBorder="1" applyAlignment="1" applyProtection="1">
      <alignment vertical="top"/>
    </xf>
    <xf numFmtId="0" fontId="46" fillId="37" borderId="0" xfId="0" applyFont="1" applyFill="1" applyBorder="1" applyAlignment="1" applyProtection="1">
      <alignment vertical="top"/>
    </xf>
    <xf numFmtId="0" fontId="0" fillId="37" borderId="0" xfId="0" applyFill="1" applyBorder="1"/>
    <xf numFmtId="0" fontId="0" fillId="37" borderId="38" xfId="0" applyFill="1" applyBorder="1"/>
    <xf numFmtId="0" fontId="19" fillId="37" borderId="92" xfId="0" applyFont="1" applyFill="1" applyBorder="1" applyAlignment="1" applyProtection="1">
      <alignment horizontal="left" vertical="top"/>
    </xf>
    <xf numFmtId="0" fontId="18" fillId="37" borderId="0" xfId="0" applyFont="1" applyFill="1" applyBorder="1" applyAlignment="1">
      <alignment horizontal="center"/>
    </xf>
    <xf numFmtId="0" fontId="46" fillId="37" borderId="52" xfId="0" quotePrefix="1" applyFont="1" applyFill="1" applyBorder="1" applyAlignment="1" applyProtection="1">
      <alignment vertical="top"/>
    </xf>
    <xf numFmtId="0" fontId="46" fillId="37" borderId="117" xfId="0" quotePrefix="1" applyFont="1" applyFill="1" applyBorder="1" applyAlignment="1" applyProtection="1">
      <alignment vertical="top"/>
    </xf>
    <xf numFmtId="0" fontId="46" fillId="37" borderId="118" xfId="0" applyFont="1" applyFill="1" applyBorder="1" applyAlignment="1" applyProtection="1">
      <alignment vertical="top"/>
    </xf>
    <xf numFmtId="0" fontId="0" fillId="37" borderId="118" xfId="0" applyFill="1" applyBorder="1"/>
    <xf numFmtId="0" fontId="0" fillId="37" borderId="119" xfId="0" applyFill="1" applyBorder="1"/>
    <xf numFmtId="0" fontId="56" fillId="37" borderId="52" xfId="0" quotePrefix="1" applyNumberFormat="1" applyFont="1" applyFill="1" applyBorder="1" applyAlignment="1" applyProtection="1">
      <alignment horizontal="center"/>
    </xf>
    <xf numFmtId="0" fontId="46" fillId="37" borderId="126" xfId="0" quotePrefix="1" applyFont="1" applyFill="1" applyBorder="1" applyAlignment="1" applyProtection="1">
      <alignment vertical="top"/>
    </xf>
    <xf numFmtId="0" fontId="20" fillId="37" borderId="0" xfId="0" applyFont="1" applyFill="1" applyBorder="1" applyProtection="1"/>
    <xf numFmtId="0" fontId="20" fillId="37" borderId="38" xfId="0" applyFont="1" applyFill="1" applyBorder="1" applyProtection="1"/>
    <xf numFmtId="0" fontId="18" fillId="37" borderId="28" xfId="0" applyFont="1" applyFill="1" applyBorder="1" applyAlignment="1" applyProtection="1">
      <alignment horizontal="center" vertical="top"/>
    </xf>
    <xf numFmtId="0" fontId="46" fillId="37" borderId="52" xfId="0" quotePrefix="1" applyFont="1" applyFill="1" applyBorder="1" applyAlignment="1" applyProtection="1">
      <alignment horizontal="left" vertical="top"/>
    </xf>
    <xf numFmtId="0" fontId="46" fillId="37" borderId="117" xfId="0" quotePrefix="1" applyFont="1" applyFill="1" applyBorder="1" applyAlignment="1" applyProtection="1">
      <alignment horizontal="left" vertical="top"/>
    </xf>
    <xf numFmtId="0" fontId="46" fillId="37" borderId="119" xfId="0" applyFont="1" applyFill="1" applyBorder="1" applyAlignment="1" applyProtection="1">
      <alignment vertical="top"/>
    </xf>
    <xf numFmtId="0" fontId="18" fillId="37" borderId="164" xfId="0" applyFont="1" applyFill="1" applyBorder="1" applyAlignment="1" applyProtection="1">
      <alignment horizontal="left" vertical="top" indent="4"/>
    </xf>
    <xf numFmtId="0" fontId="19" fillId="37" borderId="120" xfId="0" applyFont="1" applyFill="1" applyBorder="1" applyAlignment="1" applyProtection="1">
      <alignment horizontal="center" vertical="top"/>
    </xf>
    <xf numFmtId="0" fontId="46" fillId="37" borderId="120" xfId="0" quotePrefix="1" applyFont="1" applyFill="1" applyBorder="1" applyAlignment="1" applyProtection="1">
      <alignment vertical="top"/>
    </xf>
    <xf numFmtId="0" fontId="46" fillId="37" borderId="121" xfId="0" quotePrefix="1" applyFont="1" applyFill="1" applyBorder="1" applyAlignment="1" applyProtection="1">
      <alignment vertical="top"/>
    </xf>
    <xf numFmtId="0" fontId="46" fillId="37" borderId="106" xfId="0" applyFont="1" applyFill="1" applyBorder="1" applyAlignment="1" applyProtection="1">
      <alignment vertical="top"/>
    </xf>
    <xf numFmtId="0" fontId="46" fillId="37" borderId="247" xfId="0" applyFont="1" applyFill="1" applyBorder="1" applyAlignment="1" applyProtection="1">
      <alignment vertical="top"/>
    </xf>
    <xf numFmtId="0" fontId="19" fillId="37" borderId="116" xfId="0" applyFont="1" applyFill="1" applyBorder="1" applyAlignment="1" applyProtection="1">
      <alignment horizontal="left" vertical="top"/>
    </xf>
    <xf numFmtId="0" fontId="46" fillId="37" borderId="52" xfId="0" quotePrefix="1" applyFont="1" applyFill="1" applyBorder="1" applyAlignment="1" applyProtection="1">
      <alignment horizontal="center" vertical="top"/>
    </xf>
    <xf numFmtId="0" fontId="46" fillId="37" borderId="28" xfId="0" quotePrefix="1" applyFont="1" applyFill="1" applyBorder="1" applyAlignment="1" applyProtection="1">
      <alignment horizontal="center" vertical="top"/>
    </xf>
    <xf numFmtId="0" fontId="46" fillId="37" borderId="28" xfId="0" quotePrefix="1" applyFont="1" applyFill="1" applyBorder="1" applyAlignment="1" applyProtection="1">
      <alignment vertical="top"/>
    </xf>
    <xf numFmtId="0" fontId="46" fillId="37" borderId="112" xfId="0" quotePrefix="1" applyFont="1" applyFill="1" applyBorder="1" applyAlignment="1" applyProtection="1">
      <alignment vertical="top"/>
    </xf>
    <xf numFmtId="0" fontId="46" fillId="37" borderId="104" xfId="0" applyFont="1" applyFill="1" applyBorder="1" applyAlignment="1" applyProtection="1">
      <alignment vertical="top"/>
    </xf>
    <xf numFmtId="0" fontId="0" fillId="37" borderId="104" xfId="0" applyFill="1" applyBorder="1"/>
    <xf numFmtId="0" fontId="0" fillId="37" borderId="82" xfId="0" applyFill="1" applyBorder="1"/>
    <xf numFmtId="0" fontId="18" fillId="37" borderId="37" xfId="0" applyFont="1" applyFill="1" applyBorder="1" applyAlignment="1" applyProtection="1">
      <alignment horizontal="left" vertical="top" indent="4"/>
    </xf>
    <xf numFmtId="0" fontId="18" fillId="37" borderId="112" xfId="0" quotePrefix="1" applyFont="1" applyFill="1" applyBorder="1" applyAlignment="1" applyProtection="1">
      <alignment horizontal="center" vertical="top"/>
    </xf>
    <xf numFmtId="0" fontId="26" fillId="37" borderId="83" xfId="0" applyFont="1" applyFill="1" applyBorder="1" applyAlignment="1" applyProtection="1">
      <alignment horizontal="left" indent="4"/>
    </xf>
    <xf numFmtId="0" fontId="18" fillId="37" borderId="128" xfId="0" quotePrefix="1" applyFont="1" applyFill="1" applyBorder="1" applyAlignment="1" applyProtection="1">
      <alignment horizontal="center" vertical="top"/>
    </xf>
    <xf numFmtId="0" fontId="20" fillId="37" borderId="108" xfId="0" applyFont="1" applyFill="1" applyBorder="1" applyProtection="1"/>
    <xf numFmtId="0" fontId="20" fillId="37" borderId="109" xfId="0" applyFont="1" applyFill="1" applyBorder="1" applyProtection="1"/>
    <xf numFmtId="0" fontId="18" fillId="37" borderId="52" xfId="0" quotePrefix="1" applyFont="1" applyFill="1" applyBorder="1" applyAlignment="1" applyProtection="1">
      <alignment horizontal="center" vertical="top"/>
    </xf>
    <xf numFmtId="0" fontId="18" fillId="37" borderId="120" xfId="0" applyFont="1" applyFill="1" applyBorder="1" applyAlignment="1" applyProtection="1">
      <alignment horizontal="center" vertical="top"/>
    </xf>
    <xf numFmtId="0" fontId="46" fillId="37" borderId="120" xfId="0" quotePrefix="1" applyFont="1" applyFill="1" applyBorder="1" applyAlignment="1" applyProtection="1">
      <alignment horizontal="left" vertical="top"/>
    </xf>
    <xf numFmtId="0" fontId="46" fillId="37" borderId="121" xfId="0" quotePrefix="1" applyFont="1" applyFill="1" applyBorder="1" applyAlignment="1" applyProtection="1">
      <alignment horizontal="left" vertical="top"/>
    </xf>
    <xf numFmtId="0" fontId="18" fillId="48" borderId="27" xfId="0" applyFont="1" applyFill="1" applyBorder="1" applyAlignment="1" applyProtection="1">
      <alignment vertical="center"/>
    </xf>
    <xf numFmtId="0" fontId="41" fillId="59" borderId="113" xfId="0" applyFont="1" applyFill="1" applyBorder="1" applyAlignment="1" applyProtection="1"/>
    <xf numFmtId="0" fontId="42" fillId="59" borderId="114" xfId="0" applyFont="1" applyFill="1" applyBorder="1" applyAlignment="1" applyProtection="1"/>
    <xf numFmtId="0" fontId="32" fillId="59" borderId="114" xfId="0" applyFont="1" applyFill="1" applyBorder="1" applyAlignment="1"/>
    <xf numFmtId="0" fontId="32" fillId="59" borderId="115" xfId="0" applyFont="1" applyFill="1" applyBorder="1" applyAlignment="1"/>
    <xf numFmtId="0" fontId="59" fillId="58" borderId="37" xfId="0" applyFont="1" applyFill="1" applyBorder="1" applyAlignment="1" applyProtection="1">
      <alignment horizontal="left" vertical="top" indent="2"/>
    </xf>
    <xf numFmtId="0" fontId="18" fillId="58" borderId="0" xfId="0" quotePrefix="1" applyFont="1" applyFill="1" applyBorder="1" applyAlignment="1" applyProtection="1">
      <alignment horizontal="center" vertical="top"/>
    </xf>
    <xf numFmtId="0" fontId="46" fillId="58" borderId="0" xfId="0" quotePrefix="1" applyFont="1" applyFill="1" applyBorder="1" applyAlignment="1" applyProtection="1">
      <alignment vertical="top"/>
    </xf>
    <xf numFmtId="0" fontId="64" fillId="58" borderId="0" xfId="0" quotePrefix="1" applyFont="1" applyFill="1" applyBorder="1" applyAlignment="1" applyProtection="1">
      <alignment vertical="top"/>
    </xf>
    <xf numFmtId="0" fontId="20" fillId="58" borderId="0" xfId="0" applyFont="1" applyFill="1" applyBorder="1" applyAlignment="1" applyProtection="1">
      <alignment vertical="top"/>
    </xf>
    <xf numFmtId="0" fontId="20" fillId="58" borderId="38" xfId="0" applyFont="1" applyFill="1" applyBorder="1" applyAlignment="1" applyProtection="1">
      <alignment vertical="top"/>
    </xf>
    <xf numFmtId="0" fontId="41" fillId="65" borderId="113" xfId="0" applyFont="1" applyFill="1" applyBorder="1" applyProtection="1"/>
    <xf numFmtId="0" fontId="42" fillId="65" borderId="114" xfId="0" applyFont="1" applyFill="1" applyBorder="1" applyProtection="1"/>
    <xf numFmtId="0" fontId="32" fillId="65" borderId="114" xfId="0" applyFont="1" applyFill="1" applyBorder="1"/>
    <xf numFmtId="0" fontId="32" fillId="65" borderId="115" xfId="0" applyFont="1" applyFill="1" applyBorder="1"/>
    <xf numFmtId="0" fontId="41" fillId="65" borderId="47" xfId="0" applyFont="1" applyFill="1" applyBorder="1" applyProtection="1"/>
    <xf numFmtId="0" fontId="42" fillId="65" borderId="48" xfId="0" applyFont="1" applyFill="1" applyBorder="1" applyProtection="1"/>
    <xf numFmtId="0" fontId="32" fillId="65" borderId="48" xfId="0" applyFont="1" applyFill="1" applyBorder="1"/>
    <xf numFmtId="0" fontId="42" fillId="65" borderId="156" xfId="0" applyFont="1" applyFill="1" applyBorder="1" applyProtection="1"/>
    <xf numFmtId="49" fontId="35" fillId="58" borderId="0" xfId="50" applyFill="1" applyAlignment="1">
      <alignment vertical="center"/>
    </xf>
    <xf numFmtId="0" fontId="120" fillId="58" borderId="0" xfId="50" quotePrefix="1" applyNumberFormat="1" applyFont="1">
      <alignment vertical="center"/>
    </xf>
    <xf numFmtId="0" fontId="120" fillId="58" borderId="0" xfId="50" applyNumberFormat="1" applyFont="1">
      <alignment vertical="center"/>
    </xf>
    <xf numFmtId="49" fontId="35" fillId="58" borderId="0" xfId="50" applyFont="1">
      <alignment vertical="center"/>
    </xf>
    <xf numFmtId="0" fontId="35" fillId="57" borderId="0" xfId="43" applyFont="1">
      <alignment vertical="center"/>
    </xf>
    <xf numFmtId="0" fontId="35" fillId="51" borderId="0" xfId="43" applyFill="1">
      <alignment vertical="center"/>
    </xf>
    <xf numFmtId="0" fontId="35" fillId="62" borderId="0" xfId="43" applyFill="1">
      <alignment vertical="center"/>
    </xf>
    <xf numFmtId="0" fontId="79" fillId="62" borderId="0" xfId="43" applyFont="1" applyFill="1">
      <alignment vertical="center"/>
    </xf>
    <xf numFmtId="0" fontId="35" fillId="62" borderId="0" xfId="43" applyFont="1" applyFill="1">
      <alignment vertical="center"/>
    </xf>
    <xf numFmtId="0" fontId="69" fillId="51" borderId="0" xfId="43" applyFont="1" applyFill="1" applyAlignment="1">
      <alignment horizontal="justify" vertical="center" wrapText="1"/>
    </xf>
    <xf numFmtId="49" fontId="122" fillId="51" borderId="0" xfId="50" applyFont="1" applyFill="1" applyAlignment="1">
      <alignment vertical="center"/>
    </xf>
    <xf numFmtId="0" fontId="123" fillId="51" borderId="0" xfId="0" applyFont="1" applyFill="1" applyAlignment="1"/>
    <xf numFmtId="0" fontId="123" fillId="68" borderId="0" xfId="0" applyFont="1" applyFill="1" applyAlignment="1"/>
    <xf numFmtId="0" fontId="123" fillId="68" borderId="0" xfId="0" applyFont="1" applyFill="1" applyAlignment="1">
      <alignment vertical="top"/>
    </xf>
    <xf numFmtId="0" fontId="123" fillId="68" borderId="0" xfId="0" applyFont="1" applyFill="1" applyAlignment="1">
      <alignment horizontal="centerContinuous" vertical="top"/>
    </xf>
    <xf numFmtId="0" fontId="123" fillId="68" borderId="0" xfId="0" applyFont="1" applyFill="1" applyAlignment="1">
      <alignment horizontal="center" vertical="top"/>
    </xf>
    <xf numFmtId="0" fontId="0" fillId="68" borderId="0" xfId="0" applyFill="1"/>
    <xf numFmtId="0" fontId="0" fillId="68" borderId="0" xfId="0" applyFill="1" applyBorder="1"/>
    <xf numFmtId="0" fontId="20" fillId="51" borderId="0" xfId="0" applyFont="1" applyFill="1"/>
    <xf numFmtId="0" fontId="20" fillId="68" borderId="0" xfId="0" applyFont="1" applyFill="1"/>
    <xf numFmtId="0" fontId="20" fillId="68" borderId="0" xfId="0" applyFont="1" applyFill="1" applyBorder="1"/>
    <xf numFmtId="0" fontId="124" fillId="68" borderId="0" xfId="0" applyFont="1" applyFill="1" applyBorder="1" applyAlignment="1"/>
    <xf numFmtId="0" fontId="20" fillId="51" borderId="0" xfId="0" applyFont="1" applyFill="1" applyAlignment="1">
      <alignment vertical="center"/>
    </xf>
    <xf numFmtId="0" fontId="20" fillId="68" borderId="0" xfId="0" applyFont="1" applyFill="1" applyAlignment="1">
      <alignment vertical="center"/>
    </xf>
    <xf numFmtId="0" fontId="20" fillId="68" borderId="0" xfId="0" applyFont="1" applyFill="1" applyBorder="1" applyAlignment="1">
      <alignment vertical="center"/>
    </xf>
    <xf numFmtId="0" fontId="125" fillId="0" borderId="0" xfId="0" applyFont="1" applyAlignment="1">
      <alignment vertical="center"/>
    </xf>
    <xf numFmtId="0" fontId="57" fillId="51" borderId="0" xfId="0" applyFont="1" applyFill="1" applyAlignment="1">
      <alignment vertical="center"/>
    </xf>
    <xf numFmtId="0" fontId="57" fillId="68" borderId="0" xfId="0" applyFont="1" applyFill="1" applyAlignment="1">
      <alignment vertical="center"/>
    </xf>
    <xf numFmtId="0" fontId="57" fillId="68" borderId="0" xfId="0" applyFont="1" applyFill="1" applyBorder="1" applyAlignment="1">
      <alignment vertical="center"/>
    </xf>
    <xf numFmtId="0" fontId="107" fillId="68" borderId="0" xfId="0" applyFont="1" applyFill="1" applyBorder="1" applyAlignment="1"/>
    <xf numFmtId="0" fontId="107" fillId="68" borderId="0" xfId="0" applyFont="1" applyFill="1" applyAlignment="1"/>
    <xf numFmtId="0" fontId="107" fillId="68" borderId="0" xfId="0" applyFont="1" applyFill="1" applyBorder="1" applyAlignment="1">
      <alignment wrapText="1"/>
    </xf>
    <xf numFmtId="0" fontId="124" fillId="68" borderId="0" xfId="0" applyFont="1" applyFill="1" applyBorder="1" applyAlignment="1">
      <alignment horizontal="left"/>
    </xf>
    <xf numFmtId="0" fontId="107" fillId="68" borderId="0" xfId="0" applyFont="1" applyFill="1" applyAlignment="1">
      <alignment wrapText="1"/>
    </xf>
    <xf numFmtId="0" fontId="107" fillId="68" borderId="0" xfId="0" applyFont="1" applyFill="1" applyBorder="1" applyAlignment="1">
      <alignment horizontal="right"/>
    </xf>
    <xf numFmtId="0" fontId="20" fillId="68" borderId="0" xfId="0" applyFont="1" applyFill="1" applyAlignment="1">
      <alignment horizontal="left"/>
    </xf>
    <xf numFmtId="0" fontId="82" fillId="68" borderId="0" xfId="0" applyFont="1" applyFill="1" applyAlignment="1">
      <alignment horizontal="right"/>
    </xf>
    <xf numFmtId="0" fontId="107" fillId="68" borderId="0" xfId="0" applyFont="1" applyFill="1" applyAlignment="1">
      <alignment horizontal="right"/>
    </xf>
    <xf numFmtId="0" fontId="20" fillId="51" borderId="0" xfId="0" applyFont="1" applyFill="1" applyBorder="1" applyAlignment="1">
      <alignment vertical="top"/>
    </xf>
    <xf numFmtId="0" fontId="126" fillId="51" borderId="0" xfId="0" applyFont="1" applyFill="1" applyBorder="1" applyAlignment="1">
      <alignment vertical="top"/>
    </xf>
    <xf numFmtId="0" fontId="20" fillId="51" borderId="0" xfId="0" applyFont="1" applyFill="1" applyBorder="1"/>
    <xf numFmtId="0" fontId="123" fillId="51" borderId="0" xfId="0" applyFont="1" applyFill="1" applyAlignment="1">
      <alignment vertical="top"/>
    </xf>
    <xf numFmtId="0" fontId="20" fillId="51" borderId="0" xfId="0" applyFont="1" applyFill="1" applyAlignment="1">
      <alignment vertical="top"/>
    </xf>
    <xf numFmtId="0" fontId="20" fillId="68" borderId="0" xfId="0" applyFont="1" applyFill="1" applyBorder="1" applyAlignment="1">
      <alignment vertical="top"/>
    </xf>
    <xf numFmtId="0" fontId="20" fillId="68" borderId="0" xfId="0" applyFont="1" applyFill="1" applyAlignment="1">
      <alignment vertical="top"/>
    </xf>
    <xf numFmtId="0" fontId="127" fillId="68" borderId="0" xfId="0" applyFont="1" applyFill="1" applyBorder="1" applyAlignment="1">
      <alignment vertical="top"/>
    </xf>
    <xf numFmtId="0" fontId="54" fillId="68" borderId="0" xfId="0" applyFont="1" applyFill="1" applyBorder="1" applyAlignment="1">
      <alignment vertical="top"/>
    </xf>
    <xf numFmtId="0" fontId="54" fillId="68" borderId="0" xfId="0" applyFont="1" applyFill="1" applyAlignment="1">
      <alignment vertical="top"/>
    </xf>
    <xf numFmtId="0" fontId="124" fillId="68" borderId="0" xfId="0" applyFont="1" applyFill="1" applyAlignment="1">
      <alignment horizontal="right" vertical="center"/>
    </xf>
    <xf numFmtId="0" fontId="126" fillId="68" borderId="0" xfId="0" applyFont="1" applyFill="1" applyBorder="1" applyAlignment="1">
      <alignment vertical="top"/>
    </xf>
    <xf numFmtId="0" fontId="25" fillId="68" borderId="0" xfId="0" applyFont="1" applyFill="1" applyAlignment="1">
      <alignment horizontal="center" vertical="top"/>
    </xf>
    <xf numFmtId="0" fontId="36" fillId="68" borderId="0" xfId="0" applyFont="1" applyFill="1" applyBorder="1" applyAlignment="1">
      <alignment vertical="top"/>
    </xf>
    <xf numFmtId="0" fontId="128" fillId="68" borderId="0" xfId="0" applyFont="1" applyFill="1" applyBorder="1" applyAlignment="1">
      <alignment vertical="top"/>
    </xf>
    <xf numFmtId="0" fontId="129" fillId="68" borderId="0" xfId="0" applyFont="1" applyFill="1" applyAlignment="1">
      <alignment vertical="top"/>
    </xf>
    <xf numFmtId="0" fontId="31" fillId="68" borderId="0" xfId="0" applyFont="1" applyFill="1" applyAlignment="1">
      <alignment vertical="top"/>
    </xf>
    <xf numFmtId="0" fontId="107" fillId="68" borderId="0" xfId="0" applyFont="1" applyFill="1" applyBorder="1" applyAlignment="1">
      <alignment vertical="top"/>
    </xf>
    <xf numFmtId="0" fontId="31" fillId="68" borderId="0" xfId="0" applyFont="1" applyFill="1" applyBorder="1" applyAlignment="1">
      <alignment vertical="top"/>
    </xf>
    <xf numFmtId="0" fontId="129" fillId="68" borderId="0" xfId="0" applyFont="1" applyFill="1" applyAlignment="1">
      <alignment horizontal="center" vertical="top"/>
    </xf>
    <xf numFmtId="0" fontId="130" fillId="68" borderId="0" xfId="0" applyFont="1" applyFill="1" applyAlignment="1">
      <alignment horizontal="center" vertical="top"/>
    </xf>
    <xf numFmtId="0" fontId="129" fillId="68" borderId="0" xfId="0" applyFont="1" applyFill="1" applyBorder="1" applyAlignment="1">
      <alignment vertical="top"/>
    </xf>
    <xf numFmtId="0" fontId="129" fillId="68" borderId="0" xfId="0" applyFont="1" applyFill="1" applyAlignment="1">
      <alignment horizontal="left" vertical="top"/>
    </xf>
    <xf numFmtId="14" fontId="0" fillId="0" borderId="0" xfId="0" applyNumberFormat="1"/>
    <xf numFmtId="0" fontId="126" fillId="68" borderId="0" xfId="0" applyFont="1" applyFill="1" applyAlignment="1">
      <alignment vertical="top"/>
    </xf>
    <xf numFmtId="0" fontId="124" fillId="68" borderId="0" xfId="0" applyFont="1" applyFill="1" applyAlignment="1">
      <alignment vertical="top" wrapText="1"/>
    </xf>
    <xf numFmtId="0" fontId="124" fillId="68" borderId="0" xfId="0" applyFont="1" applyFill="1" applyBorder="1" applyAlignment="1">
      <alignment horizontal="right" vertical="center"/>
    </xf>
    <xf numFmtId="0" fontId="126" fillId="68" borderId="0" xfId="0" applyFont="1" applyFill="1" applyBorder="1"/>
    <xf numFmtId="0" fontId="126" fillId="68" borderId="0" xfId="0" applyFont="1" applyFill="1"/>
    <xf numFmtId="0" fontId="0" fillId="0" borderId="0" xfId="0" applyProtection="1">
      <protection locked="0"/>
    </xf>
    <xf numFmtId="0" fontId="0" fillId="0" borderId="0" xfId="0" applyAlignment="1" applyProtection="1">
      <alignment vertical="center"/>
      <protection locked="0"/>
    </xf>
    <xf numFmtId="0" fontId="0" fillId="0" borderId="0" xfId="0"/>
    <xf numFmtId="0" fontId="33" fillId="54" borderId="21" xfId="0" applyFont="1" applyFill="1" applyBorder="1" applyAlignment="1" applyProtection="1">
      <alignment vertical="center"/>
    </xf>
    <xf numFmtId="0" fontId="33" fillId="54" borderId="23" xfId="0" applyFont="1" applyFill="1" applyBorder="1" applyAlignment="1" applyProtection="1">
      <alignment vertical="center"/>
    </xf>
    <xf numFmtId="0" fontId="33" fillId="54" borderId="27" xfId="0" applyFont="1" applyFill="1" applyBorder="1" applyAlignment="1" applyProtection="1">
      <alignment vertical="center"/>
    </xf>
    <xf numFmtId="0" fontId="33" fillId="54" borderId="29" xfId="0" applyFont="1" applyFill="1" applyBorder="1" applyAlignment="1" applyProtection="1">
      <alignment vertical="center"/>
    </xf>
    <xf numFmtId="0" fontId="33" fillId="0" borderId="29" xfId="0" applyFont="1" applyFill="1" applyBorder="1" applyAlignment="1" applyProtection="1">
      <alignment vertical="center"/>
    </xf>
    <xf numFmtId="0" fontId="33" fillId="0" borderId="34" xfId="0" applyFont="1" applyFill="1" applyBorder="1" applyAlignment="1" applyProtection="1">
      <alignment vertical="center"/>
    </xf>
    <xf numFmtId="0" fontId="33" fillId="0" borderId="27" xfId="0" applyFont="1" applyFill="1" applyBorder="1" applyAlignment="1" applyProtection="1">
      <alignment vertical="center"/>
    </xf>
    <xf numFmtId="0" fontId="33" fillId="0" borderId="28" xfId="0" applyFont="1" applyFill="1" applyBorder="1" applyAlignment="1" applyProtection="1">
      <alignment vertical="center"/>
    </xf>
    <xf numFmtId="0" fontId="33" fillId="0" borderId="32" xfId="0" applyFont="1" applyFill="1" applyBorder="1" applyAlignment="1" applyProtection="1">
      <alignment vertical="center"/>
    </xf>
    <xf numFmtId="0" fontId="33" fillId="0" borderId="33" xfId="0" applyFont="1" applyFill="1" applyBorder="1" applyAlignment="1" applyProtection="1">
      <alignment vertical="center"/>
    </xf>
    <xf numFmtId="0" fontId="0" fillId="0" borderId="0" xfId="0"/>
    <xf numFmtId="0" fontId="0" fillId="0" borderId="0" xfId="0"/>
    <xf numFmtId="0" fontId="0" fillId="0" borderId="15" xfId="0" applyBorder="1"/>
    <xf numFmtId="0" fontId="0" fillId="0" borderId="14" xfId="0" applyBorder="1"/>
    <xf numFmtId="0" fontId="0" fillId="0" borderId="13" xfId="0" applyBorder="1"/>
    <xf numFmtId="49" fontId="18" fillId="69" borderId="32" xfId="57" applyBorder="1" applyAlignment="1">
      <protection locked="0"/>
    </xf>
    <xf numFmtId="49" fontId="18" fillId="69" borderId="27" xfId="57" applyBorder="1" applyAlignment="1">
      <protection locked="0"/>
    </xf>
    <xf numFmtId="49" fontId="18" fillId="69" borderId="21" xfId="57" applyBorder="1" applyAlignment="1">
      <protection locked="0"/>
    </xf>
    <xf numFmtId="0" fontId="19" fillId="59" borderId="12" xfId="46" applyBorder="1">
      <alignment vertical="center"/>
    </xf>
    <xf numFmtId="0" fontId="21" fillId="71" borderId="242" xfId="62" applyBorder="1">
      <alignment horizontal="right" vertical="center" wrapText="1" indent="1"/>
    </xf>
    <xf numFmtId="0" fontId="21" fillId="71" borderId="241" xfId="62" applyBorder="1">
      <alignment horizontal="right" vertical="center" wrapText="1" indent="1"/>
    </xf>
    <xf numFmtId="0" fontId="21" fillId="72" borderId="241" xfId="63" applyBorder="1">
      <alignment horizontal="right" vertical="center" wrapText="1" indent="1"/>
    </xf>
    <xf numFmtId="0" fontId="21" fillId="72" borderId="239" xfId="63" applyBorder="1">
      <alignment horizontal="right" vertical="center" wrapText="1" indent="1"/>
    </xf>
    <xf numFmtId="0" fontId="19" fillId="48" borderId="242" xfId="0" applyFont="1" applyFill="1" applyBorder="1" applyAlignment="1" applyProtection="1">
      <alignment horizontal="center" vertical="center" wrapText="1"/>
    </xf>
    <xf numFmtId="0" fontId="19" fillId="48" borderId="241" xfId="0" applyFont="1" applyFill="1" applyBorder="1" applyAlignment="1" applyProtection="1">
      <alignment horizontal="center" vertical="center" wrapText="1"/>
    </xf>
    <xf numFmtId="0" fontId="19" fillId="56" borderId="241" xfId="0" applyFont="1" applyFill="1" applyBorder="1" applyAlignment="1" applyProtection="1">
      <alignment horizontal="center" vertical="center" wrapText="1"/>
    </xf>
    <xf numFmtId="0" fontId="19" fillId="56" borderId="239" xfId="0" applyFont="1" applyFill="1" applyBorder="1" applyAlignment="1" applyProtection="1">
      <alignment horizontal="center" vertical="center" wrapText="1"/>
    </xf>
    <xf numFmtId="170" fontId="71" fillId="70" borderId="136" xfId="52" applyBorder="1">
      <alignment horizontal="right" vertical="center"/>
    </xf>
    <xf numFmtId="171" fontId="19" fillId="0" borderId="11" xfId="0" applyNumberFormat="1" applyFont="1" applyBorder="1" applyAlignment="1">
      <alignment vertical="center" wrapText="1"/>
    </xf>
    <xf numFmtId="171" fontId="70" fillId="0" borderId="14" xfId="0" applyNumberFormat="1" applyFont="1" applyBorder="1" applyAlignment="1">
      <alignment horizontal="center" wrapText="1"/>
    </xf>
    <xf numFmtId="0" fontId="0" fillId="0" borderId="0" xfId="0"/>
    <xf numFmtId="0" fontId="0" fillId="0" borderId="0" xfId="0"/>
    <xf numFmtId="0" fontId="18" fillId="0" borderId="0" xfId="49" applyFont="1" applyBorder="1">
      <alignment horizontal="left" vertical="center" wrapText="1" indent="1"/>
    </xf>
    <xf numFmtId="167" fontId="39" fillId="61" borderId="117" xfId="48" applyBorder="1">
      <alignment horizontal="right"/>
      <protection locked="0"/>
    </xf>
    <xf numFmtId="0" fontId="18" fillId="0" borderId="91" xfId="49" quotePrefix="1" applyBorder="1">
      <alignment horizontal="left" vertical="center" wrapText="1" indent="1"/>
    </xf>
    <xf numFmtId="0" fontId="77" fillId="0" borderId="15" xfId="0" applyFont="1" applyBorder="1" applyAlignment="1">
      <alignment horizontal="center"/>
    </xf>
    <xf numFmtId="0" fontId="35" fillId="58" borderId="0" xfId="50" applyNumberFormat="1" applyFont="1">
      <alignment vertical="center"/>
    </xf>
    <xf numFmtId="0" fontId="35" fillId="58" borderId="0" xfId="50" applyNumberFormat="1" applyFont="1" applyAlignment="1">
      <alignment horizontal="left" vertical="center"/>
    </xf>
    <xf numFmtId="0" fontId="0" fillId="0" borderId="0" xfId="0"/>
    <xf numFmtId="0" fontId="0" fillId="0" borderId="0" xfId="0"/>
    <xf numFmtId="170" fontId="71" fillId="70" borderId="13" xfId="52" applyBorder="1">
      <alignment horizontal="right" vertical="center"/>
    </xf>
    <xf numFmtId="170" fontId="71" fillId="70" borderId="14" xfId="52" applyBorder="1">
      <alignment horizontal="right" vertical="center"/>
    </xf>
    <xf numFmtId="170" fontId="71" fillId="70" borderId="15" xfId="52" applyBorder="1">
      <alignment horizontal="right" vertical="center"/>
    </xf>
    <xf numFmtId="49" fontId="18" fillId="69" borderId="164" xfId="57" applyBorder="1" applyAlignment="1">
      <alignment horizontal="left" vertical="center" wrapText="1" indent="1"/>
      <protection locked="0"/>
    </xf>
    <xf numFmtId="0" fontId="0" fillId="0" borderId="0" xfId="0"/>
    <xf numFmtId="0" fontId="0" fillId="0" borderId="0" xfId="0"/>
    <xf numFmtId="167" fontId="39" fillId="61" borderId="237" xfId="48" applyBorder="1">
      <alignment horizontal="right"/>
      <protection locked="0"/>
    </xf>
    <xf numFmtId="167" fontId="39" fillId="61" borderId="314" xfId="48" applyBorder="1">
      <alignment horizontal="right"/>
      <protection locked="0"/>
    </xf>
    <xf numFmtId="167" fontId="39" fillId="61" borderId="315" xfId="48" applyBorder="1">
      <alignment horizontal="right"/>
      <protection locked="0"/>
    </xf>
    <xf numFmtId="167" fontId="39" fillId="61" borderId="68" xfId="48" applyBorder="1">
      <alignment horizontal="right"/>
      <protection locked="0"/>
    </xf>
    <xf numFmtId="167" fontId="39" fillId="61" borderId="316" xfId="48" applyBorder="1">
      <alignment horizontal="right"/>
      <protection locked="0"/>
    </xf>
    <xf numFmtId="167" fontId="39" fillId="61" borderId="317" xfId="48" applyBorder="1">
      <alignment horizontal="right"/>
      <protection locked="0"/>
    </xf>
    <xf numFmtId="167" fontId="39" fillId="78" borderId="93" xfId="48" applyFill="1" applyBorder="1">
      <alignment horizontal="right"/>
      <protection locked="0"/>
    </xf>
    <xf numFmtId="167" fontId="39" fillId="61" borderId="318" xfId="48" applyBorder="1">
      <alignment horizontal="right"/>
      <protection locked="0"/>
    </xf>
    <xf numFmtId="167" fontId="39" fillId="61" borderId="93" xfId="48" applyBorder="1">
      <alignment horizontal="right"/>
      <protection locked="0"/>
    </xf>
    <xf numFmtId="167" fontId="39" fillId="67" borderId="174" xfId="48" applyFill="1" applyBorder="1" applyProtection="1">
      <alignment horizontal="right"/>
    </xf>
    <xf numFmtId="167" fontId="39" fillId="78" borderId="195" xfId="48" applyFill="1" applyBorder="1">
      <alignment horizontal="right"/>
      <protection locked="0"/>
    </xf>
    <xf numFmtId="0" fontId="29" fillId="51" borderId="185" xfId="0" applyNumberFormat="1" applyFont="1" applyFill="1" applyBorder="1" applyAlignment="1">
      <alignment vertical="top"/>
    </xf>
    <xf numFmtId="0" fontId="29" fillId="51" borderId="11" xfId="0" applyNumberFormat="1" applyFont="1" applyFill="1" applyBorder="1" applyAlignment="1">
      <alignment vertical="top"/>
    </xf>
    <xf numFmtId="1" fontId="20" fillId="93" borderId="20" xfId="0" applyNumberFormat="1" applyFont="1" applyFill="1" applyBorder="1" applyAlignment="1">
      <alignment horizontal="center" vertical="top"/>
    </xf>
    <xf numFmtId="1" fontId="20" fillId="93" borderId="11" xfId="0" applyNumberFormat="1" applyFont="1" applyFill="1" applyBorder="1" applyAlignment="1">
      <alignment horizontal="center" vertical="top"/>
    </xf>
    <xf numFmtId="49" fontId="0" fillId="62" borderId="150" xfId="0" applyNumberFormat="1" applyFill="1" applyBorder="1" applyAlignment="1">
      <alignment horizontal="center"/>
    </xf>
    <xf numFmtId="0" fontId="26" fillId="55" borderId="20" xfId="0" applyNumberFormat="1" applyFont="1" applyFill="1" applyBorder="1" applyAlignment="1">
      <alignment vertical="top"/>
    </xf>
    <xf numFmtId="0" fontId="18" fillId="55" borderId="20" xfId="0" applyNumberFormat="1" applyFont="1" applyFill="1" applyBorder="1" applyAlignment="1">
      <alignment horizontal="center" vertical="top"/>
    </xf>
    <xf numFmtId="0" fontId="29" fillId="51" borderId="36" xfId="0" applyNumberFormat="1" applyFont="1" applyFill="1" applyBorder="1" applyAlignment="1">
      <alignment vertical="top"/>
    </xf>
    <xf numFmtId="0" fontId="29" fillId="51" borderId="319" xfId="0" applyNumberFormat="1" applyFont="1" applyFill="1" applyBorder="1" applyAlignment="1">
      <alignment vertical="top"/>
    </xf>
    <xf numFmtId="0" fontId="21" fillId="52" borderId="11" xfId="0" applyNumberFormat="1" applyFont="1" applyFill="1" applyBorder="1" applyAlignment="1">
      <alignment vertical="center" wrapText="1"/>
    </xf>
    <xf numFmtId="0" fontId="21" fillId="52" borderId="40" xfId="0" applyNumberFormat="1" applyFont="1" applyFill="1" applyBorder="1" applyAlignment="1">
      <alignment vertical="center" wrapText="1"/>
    </xf>
    <xf numFmtId="49" fontId="21" fillId="52" borderId="40" xfId="0" applyNumberFormat="1" applyFont="1" applyFill="1" applyBorder="1" applyAlignment="1">
      <alignment vertical="center" wrapText="1"/>
    </xf>
    <xf numFmtId="0" fontId="21" fillId="48" borderId="233" xfId="55">
      <alignment horizontal="right" vertical="center" wrapText="1" indent="1"/>
    </xf>
    <xf numFmtId="167" fontId="39" fillId="61" borderId="321" xfId="48" applyBorder="1">
      <alignment horizontal="right"/>
      <protection locked="0"/>
    </xf>
    <xf numFmtId="167" fontId="39" fillId="61" borderId="322" xfId="48" applyBorder="1">
      <alignment horizontal="right"/>
      <protection locked="0"/>
    </xf>
    <xf numFmtId="167" fontId="39" fillId="78" borderId="92" xfId="48" applyFill="1" applyBorder="1">
      <alignment horizontal="right"/>
      <protection locked="0"/>
    </xf>
    <xf numFmtId="167" fontId="39" fillId="61" borderId="127" xfId="48" applyBorder="1">
      <alignment horizontal="right"/>
      <protection locked="0"/>
    </xf>
    <xf numFmtId="167" fontId="39" fillId="61" borderId="128" xfId="48" applyBorder="1">
      <alignment horizontal="right"/>
      <protection locked="0"/>
    </xf>
    <xf numFmtId="167" fontId="39" fillId="61" borderId="323" xfId="48" applyBorder="1">
      <alignment horizontal="right"/>
      <protection locked="0"/>
    </xf>
    <xf numFmtId="167" fontId="39" fillId="61" borderId="273" xfId="48" applyBorder="1">
      <alignment horizontal="right"/>
      <protection locked="0"/>
    </xf>
    <xf numFmtId="0" fontId="0" fillId="0" borderId="0" xfId="0"/>
    <xf numFmtId="49" fontId="18" fillId="69" borderId="324" xfId="57" applyBorder="1" applyAlignment="1">
      <alignment horizontal="left" vertical="center" wrapText="1" indent="1"/>
      <protection locked="0"/>
    </xf>
    <xf numFmtId="49" fontId="124" fillId="58" borderId="0" xfId="50" applyFont="1">
      <alignment vertical="center"/>
    </xf>
    <xf numFmtId="0" fontId="124" fillId="58" borderId="0" xfId="50" applyNumberFormat="1" applyFont="1">
      <alignment vertical="center"/>
    </xf>
    <xf numFmtId="0" fontId="124" fillId="58" borderId="0" xfId="50" applyNumberFormat="1" applyFont="1" applyAlignment="1">
      <alignment horizontal="left" vertical="center"/>
    </xf>
    <xf numFmtId="0" fontId="16" fillId="62" borderId="135" xfId="0" applyFont="1" applyFill="1" applyBorder="1" applyAlignment="1">
      <alignment horizontal="right"/>
    </xf>
    <xf numFmtId="170" fontId="71" fillId="70" borderId="154" xfId="52" applyBorder="1">
      <alignment horizontal="right" vertical="center"/>
    </xf>
    <xf numFmtId="0" fontId="18" fillId="0" borderId="325" xfId="49" applyBorder="1">
      <alignment horizontal="left" vertical="center" wrapText="1" indent="1"/>
    </xf>
    <xf numFmtId="0" fontId="0" fillId="62" borderId="16" xfId="0" applyFill="1" applyBorder="1" applyAlignment="1">
      <alignment horizontal="right"/>
    </xf>
    <xf numFmtId="0" fontId="0" fillId="0" borderId="0" xfId="0"/>
    <xf numFmtId="0" fontId="26" fillId="51" borderId="30" xfId="0" applyNumberFormat="1" applyFont="1" applyFill="1" applyBorder="1" applyAlignment="1">
      <alignment vertical="top"/>
    </xf>
    <xf numFmtId="0" fontId="18" fillId="55" borderId="118" xfId="0" applyNumberFormat="1" applyFont="1" applyFill="1" applyBorder="1" applyAlignment="1">
      <alignment horizontal="center" vertical="top"/>
    </xf>
    <xf numFmtId="0" fontId="18" fillId="55" borderId="104" xfId="0" applyNumberFormat="1" applyFont="1" applyFill="1" applyBorder="1" applyAlignment="1">
      <alignment horizontal="center" vertical="top"/>
    </xf>
    <xf numFmtId="49" fontId="18" fillId="69" borderId="62" xfId="57" applyAlignment="1">
      <alignment horizontal="left" vertical="center" wrapText="1" indent="1"/>
      <protection locked="0"/>
    </xf>
    <xf numFmtId="49" fontId="18" fillId="69" borderId="65" xfId="57" applyBorder="1" applyAlignment="1">
      <alignment horizontal="left" vertical="center" wrapText="1" indent="1"/>
      <protection locked="0"/>
    </xf>
    <xf numFmtId="167" fontId="39" fillId="67" borderId="186" xfId="48" applyFill="1" applyBorder="1" applyProtection="1">
      <alignment horizontal="right"/>
    </xf>
    <xf numFmtId="167" fontId="39" fillId="67" borderId="22" xfId="48" applyFill="1" applyBorder="1" applyProtection="1">
      <alignment horizontal="right"/>
    </xf>
    <xf numFmtId="167" fontId="39" fillId="67" borderId="23" xfId="48" applyFill="1" applyBorder="1" applyProtection="1">
      <alignment horizontal="right"/>
    </xf>
    <xf numFmtId="167" fontId="39" fillId="67" borderId="187" xfId="48" applyFill="1" applyBorder="1" applyProtection="1">
      <alignment horizontal="right"/>
    </xf>
    <xf numFmtId="167" fontId="39" fillId="67" borderId="28" xfId="48" applyFill="1" applyBorder="1" applyProtection="1">
      <alignment horizontal="right"/>
    </xf>
    <xf numFmtId="167" fontId="39" fillId="67" borderId="29" xfId="48" applyFill="1" applyBorder="1" applyProtection="1">
      <alignment horizontal="right"/>
    </xf>
    <xf numFmtId="167" fontId="39" fillId="67" borderId="188" xfId="48" applyFill="1" applyBorder="1" applyProtection="1">
      <alignment horizontal="right"/>
    </xf>
    <xf numFmtId="167" fontId="39" fillId="67" borderId="33" xfId="48" applyFill="1" applyBorder="1" applyProtection="1">
      <alignment horizontal="right"/>
    </xf>
    <xf numFmtId="167" fontId="39" fillId="67" borderId="34" xfId="48" applyFill="1" applyBorder="1" applyProtection="1">
      <alignment horizontal="right"/>
    </xf>
    <xf numFmtId="0" fontId="18" fillId="0" borderId="326" xfId="49" applyBorder="1">
      <alignment horizontal="left" vertical="center" wrapText="1" indent="1"/>
    </xf>
    <xf numFmtId="0" fontId="0" fillId="0" borderId="0" xfId="0"/>
    <xf numFmtId="0" fontId="0" fillId="0" borderId="0" xfId="0"/>
    <xf numFmtId="167" fontId="39" fillId="61" borderId="14" xfId="48" applyBorder="1">
      <alignment horizontal="right"/>
      <protection locked="0"/>
    </xf>
    <xf numFmtId="167" fontId="39" fillId="61" borderId="15" xfId="48" applyBorder="1">
      <alignment horizontal="right"/>
      <protection locked="0"/>
    </xf>
    <xf numFmtId="0" fontId="18" fillId="0" borderId="327" xfId="49" applyBorder="1">
      <alignment horizontal="left" vertical="center" wrapText="1" indent="1"/>
    </xf>
    <xf numFmtId="0" fontId="0" fillId="0" borderId="0" xfId="0"/>
    <xf numFmtId="0" fontId="18" fillId="51" borderId="118" xfId="0" applyFont="1" applyFill="1" applyBorder="1" applyAlignment="1">
      <alignment horizontal="right" vertical="center" wrapText="1" indent="3"/>
    </xf>
    <xf numFmtId="0" fontId="18" fillId="51" borderId="104" xfId="0" applyFont="1" applyFill="1" applyBorder="1" applyAlignment="1">
      <alignment horizontal="right" vertical="center" wrapText="1" indent="3"/>
    </xf>
    <xf numFmtId="49" fontId="18" fillId="69" borderId="67" xfId="57" applyBorder="1" applyAlignment="1" applyProtection="1">
      <protection locked="0"/>
    </xf>
    <xf numFmtId="49" fontId="18" fillId="77" borderId="62" xfId="57" applyFill="1" applyBorder="1" applyAlignment="1" applyProtection="1">
      <protection locked="0"/>
    </xf>
    <xf numFmtId="49" fontId="18" fillId="69" borderId="62" xfId="57" applyBorder="1" applyAlignment="1" applyProtection="1">
      <protection locked="0"/>
    </xf>
    <xf numFmtId="167" fontId="0" fillId="80" borderId="179" xfId="48" applyFont="1" applyFill="1" applyBorder="1">
      <alignment horizontal="right"/>
      <protection locked="0"/>
    </xf>
    <xf numFmtId="167" fontId="0" fillId="80" borderId="112" xfId="48" applyFont="1" applyFill="1" applyBorder="1">
      <alignment horizontal="right"/>
      <protection locked="0"/>
    </xf>
    <xf numFmtId="0" fontId="102" fillId="0" borderId="0" xfId="0" applyFont="1" applyAlignment="1">
      <alignment horizontal="right" indent="1"/>
    </xf>
    <xf numFmtId="0" fontId="0" fillId="0" borderId="0" xfId="0"/>
    <xf numFmtId="0" fontId="88" fillId="0" borderId="0" xfId="0" applyFont="1" applyFill="1" applyBorder="1" applyAlignment="1">
      <alignment horizontal="center"/>
    </xf>
    <xf numFmtId="0" fontId="86" fillId="0" borderId="0" xfId="0" applyFont="1" applyBorder="1" applyAlignment="1">
      <alignment horizontal="right" indent="1"/>
    </xf>
    <xf numFmtId="0" fontId="87" fillId="48" borderId="0" xfId="0" applyFont="1" applyFill="1" applyBorder="1" applyAlignment="1">
      <alignment horizontal="right" indent="1"/>
    </xf>
    <xf numFmtId="0" fontId="0" fillId="0" borderId="0" xfId="0" applyBorder="1" applyAlignment="1">
      <alignment horizontal="right" indent="1"/>
    </xf>
    <xf numFmtId="0" fontId="13" fillId="74" borderId="0" xfId="0" applyFont="1" applyFill="1" applyBorder="1" applyAlignment="1">
      <alignment horizontal="right" indent="1"/>
    </xf>
    <xf numFmtId="0" fontId="24" fillId="75" borderId="0" xfId="0" applyFont="1" applyFill="1" applyBorder="1" applyAlignment="1">
      <alignment horizontal="right" indent="1"/>
    </xf>
    <xf numFmtId="0" fontId="24" fillId="76" borderId="0" xfId="0" applyFont="1" applyFill="1" applyBorder="1" applyAlignment="1">
      <alignment horizontal="right" indent="1"/>
    </xf>
    <xf numFmtId="0" fontId="87" fillId="76" borderId="0" xfId="0" applyFont="1" applyFill="1" applyBorder="1" applyAlignment="1">
      <alignment horizontal="right" indent="1"/>
    </xf>
    <xf numFmtId="0" fontId="24" fillId="48" borderId="0" xfId="0" applyFont="1" applyFill="1" applyBorder="1" applyAlignment="1">
      <alignment horizontal="right" indent="1"/>
    </xf>
    <xf numFmtId="0" fontId="24" fillId="62" borderId="0" xfId="0" applyFont="1" applyFill="1" applyBorder="1" applyAlignment="1">
      <alignment horizontal="right" indent="1"/>
    </xf>
    <xf numFmtId="0" fontId="24" fillId="52" borderId="0" xfId="0" applyFont="1" applyFill="1" applyBorder="1" applyAlignment="1">
      <alignment horizontal="right" indent="1"/>
    </xf>
    <xf numFmtId="0" fontId="124" fillId="58" borderId="0" xfId="50" applyNumberFormat="1" applyFont="1" applyAlignment="1">
      <alignment horizontal="left" vertical="center" indent="1"/>
    </xf>
    <xf numFmtId="49" fontId="124" fillId="58" borderId="0" xfId="50" applyFont="1" applyAlignment="1">
      <alignment horizontal="left" vertical="center" indent="1"/>
    </xf>
    <xf numFmtId="0" fontId="86" fillId="0" borderId="0" xfId="0" applyFont="1" applyAlignment="1">
      <alignment horizontal="left" indent="1"/>
    </xf>
    <xf numFmtId="0" fontId="86" fillId="0" borderId="11" xfId="0" applyFont="1" applyBorder="1" applyAlignment="1">
      <alignment horizontal="left" indent="1"/>
    </xf>
    <xf numFmtId="0" fontId="88" fillId="0" borderId="0" xfId="0" applyFont="1" applyFill="1" applyBorder="1" applyAlignment="1">
      <alignment horizontal="left" indent="1"/>
    </xf>
    <xf numFmtId="0" fontId="39" fillId="52" borderId="0" xfId="0" quotePrefix="1" applyFont="1" applyFill="1" applyAlignment="1">
      <alignment horizontal="left" indent="1"/>
    </xf>
    <xf numFmtId="0" fontId="86" fillId="0" borderId="0" xfId="0" applyFont="1" applyBorder="1" applyAlignment="1">
      <alignment horizontal="left" indent="1"/>
    </xf>
    <xf numFmtId="0" fontId="105" fillId="48" borderId="0" xfId="67" quotePrefix="1" applyFont="1" applyFill="1" applyBorder="1" applyAlignment="1">
      <alignment horizontal="left" indent="1"/>
    </xf>
    <xf numFmtId="0" fontId="0" fillId="0" borderId="0" xfId="0" applyBorder="1" applyAlignment="1">
      <alignment horizontal="left" indent="1"/>
    </xf>
    <xf numFmtId="0" fontId="106" fillId="74" borderId="0" xfId="67" quotePrefix="1" applyFont="1" applyFill="1" applyBorder="1" applyAlignment="1">
      <alignment horizontal="left" indent="1"/>
    </xf>
    <xf numFmtId="0" fontId="105" fillId="75" borderId="0" xfId="67" quotePrefix="1" applyFont="1" applyFill="1" applyBorder="1" applyAlignment="1">
      <alignment horizontal="left" indent="1"/>
    </xf>
    <xf numFmtId="0" fontId="105" fillId="76" borderId="0" xfId="67" quotePrefix="1" applyFont="1" applyFill="1" applyBorder="1" applyAlignment="1">
      <alignment horizontal="left" indent="1"/>
    </xf>
    <xf numFmtId="0" fontId="0" fillId="0" borderId="0" xfId="0" applyAlignment="1">
      <alignment horizontal="left" indent="1"/>
    </xf>
    <xf numFmtId="0" fontId="39" fillId="62" borderId="0" xfId="67" quotePrefix="1" applyFont="1" applyFill="1" applyBorder="1" applyAlignment="1">
      <alignment horizontal="left" indent="1"/>
    </xf>
    <xf numFmtId="0" fontId="86" fillId="0" borderId="14" xfId="0" applyFont="1" applyBorder="1" applyAlignment="1">
      <alignment horizontal="left" indent="1"/>
    </xf>
    <xf numFmtId="167" fontId="39" fillId="61" borderId="167" xfId="48" applyBorder="1" applyProtection="1">
      <alignment horizontal="right"/>
      <protection locked="0"/>
    </xf>
    <xf numFmtId="167" fontId="39" fillId="61" borderId="172" xfId="48" applyBorder="1" applyProtection="1">
      <alignment horizontal="right"/>
      <protection locked="0"/>
    </xf>
    <xf numFmtId="167" fontId="39" fillId="61" borderId="173" xfId="48" applyBorder="1" applyProtection="1">
      <alignment horizontal="right"/>
      <protection locked="0"/>
    </xf>
    <xf numFmtId="167" fontId="39" fillId="61" borderId="174" xfId="48" applyBorder="1" applyProtection="1">
      <alignment horizontal="right"/>
      <protection locked="0"/>
    </xf>
    <xf numFmtId="167" fontId="39" fillId="61" borderId="28" xfId="48" applyBorder="1" applyProtection="1">
      <alignment horizontal="right"/>
      <protection locked="0"/>
    </xf>
    <xf numFmtId="167" fontId="39" fillId="61" borderId="29" xfId="48" applyBorder="1" applyProtection="1">
      <alignment horizontal="right"/>
      <protection locked="0"/>
    </xf>
    <xf numFmtId="167" fontId="39" fillId="61" borderId="175" xfId="48" applyBorder="1" applyProtection="1">
      <alignment horizontal="right"/>
      <protection locked="0"/>
    </xf>
    <xf numFmtId="167" fontId="39" fillId="61" borderId="188" xfId="48" applyBorder="1" applyProtection="1">
      <alignment horizontal="right"/>
      <protection locked="0"/>
    </xf>
    <xf numFmtId="167" fontId="39" fillId="61" borderId="33" xfId="48" applyBorder="1" applyProtection="1">
      <alignment horizontal="right"/>
      <protection locked="0"/>
    </xf>
    <xf numFmtId="167" fontId="39" fillId="61" borderId="31" xfId="48" applyBorder="1" applyProtection="1">
      <alignment horizontal="right"/>
      <protection locked="0"/>
    </xf>
    <xf numFmtId="167" fontId="39" fillId="61" borderId="196" xfId="48" applyBorder="1" applyProtection="1">
      <alignment horizontal="right"/>
      <protection locked="0"/>
    </xf>
    <xf numFmtId="167" fontId="39" fillId="61" borderId="34" xfId="48" applyBorder="1" applyProtection="1">
      <alignment horizontal="right"/>
      <protection locked="0"/>
    </xf>
    <xf numFmtId="167" fontId="39" fillId="61" borderId="187" xfId="48" applyBorder="1" applyProtection="1">
      <alignment horizontal="right"/>
      <protection locked="0"/>
    </xf>
    <xf numFmtId="167" fontId="39" fillId="61" borderId="112" xfId="48" applyBorder="1" applyProtection="1">
      <alignment horizontal="right"/>
      <protection locked="0"/>
    </xf>
    <xf numFmtId="167" fontId="39" fillId="61" borderId="195" xfId="48" applyBorder="1" applyProtection="1">
      <alignment horizontal="right"/>
      <protection locked="0"/>
    </xf>
    <xf numFmtId="172" fontId="39" fillId="61" borderId="221" xfId="48" applyNumberFormat="1" applyBorder="1" applyProtection="1">
      <alignment horizontal="right"/>
      <protection locked="0"/>
    </xf>
    <xf numFmtId="172" fontId="39" fillId="61" borderId="71" xfId="48" applyNumberFormat="1" applyBorder="1" applyProtection="1">
      <alignment horizontal="right"/>
      <protection locked="0"/>
    </xf>
    <xf numFmtId="172" fontId="39" fillId="61" borderId="223" xfId="48" applyNumberFormat="1" applyBorder="1" applyProtection="1">
      <alignment horizontal="right"/>
      <protection locked="0"/>
    </xf>
    <xf numFmtId="167" fontId="39" fillId="61" borderId="169" xfId="48" applyBorder="1" applyProtection="1">
      <alignment horizontal="right"/>
      <protection locked="0"/>
    </xf>
    <xf numFmtId="172" fontId="39" fillId="61" borderId="147" xfId="48" applyNumberFormat="1" applyBorder="1" applyProtection="1">
      <alignment horizontal="right"/>
      <protection locked="0"/>
    </xf>
    <xf numFmtId="172" fontId="39" fillId="61" borderId="220" xfId="48" applyNumberFormat="1" applyBorder="1" applyProtection="1">
      <alignment horizontal="right"/>
      <protection locked="0"/>
    </xf>
    <xf numFmtId="172" fontId="39" fillId="61" borderId="28" xfId="48" applyNumberFormat="1" applyBorder="1" applyProtection="1">
      <alignment horizontal="right"/>
      <protection locked="0"/>
    </xf>
    <xf numFmtId="172" fontId="39" fillId="61" borderId="120" xfId="48" applyNumberFormat="1" applyBorder="1" applyProtection="1">
      <alignment horizontal="right"/>
      <protection locked="0"/>
    </xf>
    <xf numFmtId="49" fontId="18" fillId="69" borderId="21" xfId="57" applyBorder="1" applyAlignment="1" applyProtection="1">
      <alignment horizontal="left" vertical="center" wrapText="1" indent="1"/>
      <protection locked="0"/>
    </xf>
    <xf numFmtId="167" fontId="39" fillId="61" borderId="194" xfId="48" applyBorder="1" applyProtection="1">
      <alignment horizontal="right"/>
      <protection locked="0"/>
    </xf>
    <xf numFmtId="167" fontId="39" fillId="61" borderId="22" xfId="48" applyBorder="1" applyProtection="1">
      <alignment horizontal="right"/>
      <protection locked="0"/>
    </xf>
    <xf numFmtId="167" fontId="39" fillId="61" borderId="23" xfId="48" applyBorder="1" applyProtection="1">
      <alignment horizontal="right"/>
      <protection locked="0"/>
    </xf>
    <xf numFmtId="167" fontId="39" fillId="61" borderId="68" xfId="48" applyBorder="1" applyProtection="1">
      <alignment horizontal="right"/>
      <protection locked="0"/>
    </xf>
    <xf numFmtId="167" fontId="39" fillId="61" borderId="71" xfId="48" applyBorder="1" applyProtection="1">
      <alignment horizontal="right"/>
      <protection locked="0"/>
    </xf>
    <xf numFmtId="167" fontId="39" fillId="61" borderId="197" xfId="48" applyBorder="1" applyProtection="1">
      <alignment horizontal="right"/>
      <protection locked="0"/>
    </xf>
    <xf numFmtId="167" fontId="39" fillId="61" borderId="253" xfId="48" applyBorder="1" applyProtection="1">
      <alignment horizontal="right"/>
      <protection locked="0"/>
    </xf>
    <xf numFmtId="167" fontId="39" fillId="61" borderId="229" xfId="48" applyBorder="1" applyProtection="1">
      <alignment horizontal="right"/>
      <protection locked="0"/>
    </xf>
    <xf numFmtId="49" fontId="18" fillId="69" borderId="79" xfId="57" applyBorder="1" applyAlignment="1" applyProtection="1">
      <alignment horizontal="left" vertical="center" wrapText="1"/>
      <protection locked="0"/>
    </xf>
    <xf numFmtId="49" fontId="18" fillId="69" borderId="81" xfId="57" applyBorder="1" applyAlignment="1" applyProtection="1">
      <alignment horizontal="left" vertical="center" wrapText="1"/>
      <protection locked="0"/>
    </xf>
    <xf numFmtId="167" fontId="39" fillId="113" borderId="171" xfId="48" applyFill="1" applyBorder="1">
      <alignment horizontal="right"/>
      <protection locked="0"/>
    </xf>
    <xf numFmtId="167" fontId="39" fillId="113" borderId="172" xfId="48" applyFill="1" applyBorder="1">
      <alignment horizontal="right"/>
      <protection locked="0"/>
    </xf>
    <xf numFmtId="167" fontId="39" fillId="113" borderId="174" xfId="48" applyFill="1" applyBorder="1">
      <alignment horizontal="right"/>
      <protection locked="0"/>
    </xf>
    <xf numFmtId="167" fontId="39" fillId="113" borderId="251" xfId="48" applyFill="1" applyBorder="1">
      <alignment horizontal="right"/>
      <protection locked="0"/>
    </xf>
    <xf numFmtId="167" fontId="39" fillId="113" borderId="225" xfId="48" applyFill="1" applyBorder="1">
      <alignment horizontal="right"/>
      <protection locked="0"/>
    </xf>
    <xf numFmtId="167" fontId="39" fillId="113" borderId="176" xfId="48" applyFill="1" applyBorder="1">
      <alignment horizontal="right"/>
      <protection locked="0"/>
    </xf>
    <xf numFmtId="167" fontId="39" fillId="113" borderId="177" xfId="48" applyFill="1" applyBorder="1">
      <alignment horizontal="right"/>
      <protection locked="0"/>
    </xf>
    <xf numFmtId="167" fontId="39" fillId="113" borderId="179" xfId="48" applyFill="1" applyBorder="1">
      <alignment horizontal="right"/>
      <protection locked="0"/>
    </xf>
    <xf numFmtId="167" fontId="39" fillId="113" borderId="226" xfId="48" applyFill="1" applyBorder="1">
      <alignment horizontal="right"/>
      <protection locked="0"/>
    </xf>
    <xf numFmtId="167" fontId="39" fillId="113" borderId="177" xfId="48" applyFill="1" applyBorder="1" applyProtection="1">
      <alignment horizontal="right"/>
      <protection locked="0"/>
    </xf>
    <xf numFmtId="167" fontId="39" fillId="113" borderId="45" xfId="48" applyFill="1" applyBorder="1">
      <alignment horizontal="right"/>
      <protection locked="0"/>
    </xf>
    <xf numFmtId="167" fontId="39" fillId="113" borderId="181" xfId="48" applyFill="1" applyBorder="1">
      <alignment horizontal="right"/>
      <protection locked="0"/>
    </xf>
    <xf numFmtId="167" fontId="39" fillId="113" borderId="183" xfId="48" applyFill="1" applyBorder="1">
      <alignment horizontal="right"/>
      <protection locked="0"/>
    </xf>
    <xf numFmtId="167" fontId="39" fillId="113" borderId="166" xfId="48" applyFill="1" applyBorder="1">
      <alignment horizontal="right"/>
      <protection locked="0"/>
    </xf>
    <xf numFmtId="167" fontId="39" fillId="113" borderId="169" xfId="48" applyFill="1" applyBorder="1">
      <alignment horizontal="right"/>
      <protection locked="0"/>
    </xf>
    <xf numFmtId="167" fontId="39" fillId="113" borderId="167" xfId="48" applyFill="1" applyBorder="1">
      <alignment horizontal="right"/>
      <protection locked="0"/>
    </xf>
    <xf numFmtId="167" fontId="39" fillId="113" borderId="170" xfId="48" applyFill="1" applyBorder="1">
      <alignment horizontal="right"/>
      <protection locked="0"/>
    </xf>
    <xf numFmtId="167" fontId="39" fillId="113" borderId="175" xfId="48" applyFill="1" applyBorder="1">
      <alignment horizontal="right"/>
      <protection locked="0"/>
    </xf>
    <xf numFmtId="167" fontId="39" fillId="113" borderId="205" xfId="48" applyFill="1" applyBorder="1">
      <alignment horizontal="right"/>
      <protection locked="0"/>
    </xf>
    <xf numFmtId="167" fontId="39" fillId="113" borderId="207" xfId="48" applyFill="1" applyBorder="1">
      <alignment horizontal="right"/>
      <protection locked="0"/>
    </xf>
    <xf numFmtId="167" fontId="39" fillId="113" borderId="208" xfId="48" applyFill="1" applyBorder="1">
      <alignment horizontal="right"/>
      <protection locked="0"/>
    </xf>
    <xf numFmtId="167" fontId="39" fillId="113" borderId="209" xfId="48" applyFill="1" applyBorder="1">
      <alignment horizontal="right"/>
      <protection locked="0"/>
    </xf>
    <xf numFmtId="170" fontId="71" fillId="82" borderId="18" xfId="52" applyFill="1" applyBorder="1">
      <alignment horizontal="right" vertical="center"/>
    </xf>
    <xf numFmtId="170" fontId="71" fillId="82" borderId="243" xfId="52" applyFill="1" applyBorder="1">
      <alignment horizontal="right" vertical="center"/>
    </xf>
    <xf numFmtId="170" fontId="71" fillId="82" borderId="244" xfId="52" applyFill="1" applyBorder="1">
      <alignment horizontal="right" vertical="center"/>
    </xf>
    <xf numFmtId="9" fontId="39" fillId="113" borderId="166" xfId="59" applyNumberFormat="1" applyFill="1" applyBorder="1">
      <alignment horizontal="right"/>
      <protection locked="0"/>
    </xf>
    <xf numFmtId="9" fontId="39" fillId="113" borderId="174" xfId="59" applyNumberFormat="1" applyFill="1" applyBorder="1">
      <alignment horizontal="right"/>
      <protection locked="0"/>
    </xf>
    <xf numFmtId="9" fontId="39" fillId="113" borderId="172" xfId="59" applyNumberFormat="1" applyFill="1" applyBorder="1">
      <alignment horizontal="right"/>
      <protection locked="0"/>
    </xf>
    <xf numFmtId="167" fontId="39" fillId="113" borderId="172" xfId="59" applyNumberFormat="1" applyFill="1" applyBorder="1">
      <alignment horizontal="right"/>
      <protection locked="0"/>
    </xf>
    <xf numFmtId="9" fontId="39" fillId="113" borderId="175" xfId="59" applyNumberFormat="1" applyFill="1" applyBorder="1">
      <alignment horizontal="right"/>
      <protection locked="0"/>
    </xf>
    <xf numFmtId="9" fontId="39" fillId="113" borderId="176" xfId="59" applyNumberFormat="1" applyFill="1" applyBorder="1">
      <alignment horizontal="right"/>
      <protection locked="0"/>
    </xf>
    <xf numFmtId="9" fontId="39" fillId="113" borderId="179" xfId="59" applyNumberFormat="1" applyFill="1" applyBorder="1">
      <alignment horizontal="right"/>
      <protection locked="0"/>
    </xf>
    <xf numFmtId="9" fontId="39" fillId="113" borderId="177" xfId="59" applyNumberFormat="1" applyFill="1" applyBorder="1">
      <alignment horizontal="right"/>
      <protection locked="0"/>
    </xf>
    <xf numFmtId="9" fontId="39" fillId="113" borderId="180" xfId="59" applyNumberFormat="1" applyFill="1" applyBorder="1">
      <alignment horizontal="right"/>
      <protection locked="0"/>
    </xf>
    <xf numFmtId="9" fontId="39" fillId="113" borderId="177" xfId="59" applyNumberFormat="1" applyFill="1" applyBorder="1" applyProtection="1">
      <alignment horizontal="right"/>
      <protection locked="0"/>
    </xf>
    <xf numFmtId="9" fontId="39" fillId="113" borderId="45" xfId="59" applyNumberFormat="1" applyFill="1" applyBorder="1">
      <alignment horizontal="right"/>
      <protection locked="0"/>
    </xf>
    <xf numFmtId="9" fontId="39" fillId="113" borderId="183" xfId="59" applyNumberFormat="1" applyFill="1" applyBorder="1">
      <alignment horizontal="right"/>
      <protection locked="0"/>
    </xf>
    <xf numFmtId="9" fontId="39" fillId="113" borderId="181" xfId="59" applyNumberFormat="1" applyFill="1" applyBorder="1">
      <alignment horizontal="right"/>
      <protection locked="0"/>
    </xf>
    <xf numFmtId="9" fontId="39" fillId="113" borderId="184" xfId="59" applyNumberFormat="1" applyFill="1" applyBorder="1">
      <alignment horizontal="right"/>
      <protection locked="0"/>
    </xf>
    <xf numFmtId="9" fontId="39" fillId="113" borderId="328" xfId="59" applyNumberFormat="1" applyFill="1" applyBorder="1">
      <alignment horizontal="right"/>
      <protection locked="0"/>
    </xf>
    <xf numFmtId="9" fontId="39" fillId="113" borderId="329" xfId="59" applyNumberFormat="1" applyFill="1" applyBorder="1">
      <alignment horizontal="right"/>
      <protection locked="0"/>
    </xf>
    <xf numFmtId="9" fontId="39" fillId="113" borderId="330" xfId="59" applyNumberFormat="1" applyFill="1" applyBorder="1">
      <alignment horizontal="right"/>
      <protection locked="0"/>
    </xf>
    <xf numFmtId="9" fontId="39" fillId="113" borderId="331" xfId="59" applyNumberFormat="1" applyFill="1" applyBorder="1">
      <alignment horizontal="right"/>
      <protection locked="0"/>
    </xf>
    <xf numFmtId="49" fontId="18" fillId="82" borderId="150" xfId="56" applyFill="1" applyBorder="1" applyAlignment="1" applyProtection="1">
      <alignment wrapText="1"/>
      <protection locked="0"/>
    </xf>
    <xf numFmtId="167" fontId="39" fillId="113" borderId="186" xfId="48" applyFill="1" applyBorder="1">
      <alignment horizontal="right"/>
      <protection locked="0"/>
    </xf>
    <xf numFmtId="167" fontId="39" fillId="113" borderId="22" xfId="48" applyFill="1" applyBorder="1">
      <alignment horizontal="right"/>
      <protection locked="0"/>
    </xf>
    <xf numFmtId="167" fontId="39" fillId="113" borderId="23" xfId="48" applyFill="1" applyBorder="1">
      <alignment horizontal="right"/>
      <protection locked="0"/>
    </xf>
    <xf numFmtId="167" fontId="39" fillId="113" borderId="187" xfId="48" applyFill="1" applyBorder="1">
      <alignment horizontal="right"/>
      <protection locked="0"/>
    </xf>
    <xf numFmtId="167" fontId="39" fillId="113" borderId="28" xfId="48" applyFill="1" applyBorder="1">
      <alignment horizontal="right"/>
      <protection locked="0"/>
    </xf>
    <xf numFmtId="167" fontId="39" fillId="113" borderId="29" xfId="48" applyFill="1" applyBorder="1">
      <alignment horizontal="right"/>
      <protection locked="0"/>
    </xf>
    <xf numFmtId="167" fontId="39" fillId="113" borderId="188" xfId="48" applyFill="1" applyBorder="1">
      <alignment horizontal="right"/>
      <protection locked="0"/>
    </xf>
    <xf numFmtId="167" fontId="39" fillId="113" borderId="33" xfId="48" applyFill="1" applyBorder="1">
      <alignment horizontal="right"/>
      <protection locked="0"/>
    </xf>
    <xf numFmtId="167" fontId="39" fillId="113" borderId="34" xfId="48" applyFill="1" applyBorder="1">
      <alignment horizontal="right"/>
      <protection locked="0"/>
    </xf>
    <xf numFmtId="170" fontId="71" fillId="82" borderId="243" xfId="52" applyFill="1">
      <alignment horizontal="right" vertical="center"/>
    </xf>
    <xf numFmtId="167" fontId="39" fillId="113" borderId="28" xfId="48" applyFill="1" applyBorder="1" applyProtection="1">
      <alignment horizontal="right"/>
      <protection locked="0"/>
    </xf>
    <xf numFmtId="167" fontId="39" fillId="113" borderId="29" xfId="48" applyFill="1" applyBorder="1" applyProtection="1">
      <alignment horizontal="right"/>
      <protection locked="0"/>
    </xf>
    <xf numFmtId="170" fontId="71" fillId="82" borderId="19" xfId="52" applyFill="1" applyBorder="1">
      <alignment horizontal="right" vertical="center"/>
    </xf>
    <xf numFmtId="170" fontId="71" fillId="82" borderId="22" xfId="52" applyFill="1" applyBorder="1" applyProtection="1">
      <alignment horizontal="right" vertical="center"/>
      <protection locked="0"/>
    </xf>
    <xf numFmtId="170" fontId="71" fillId="82" borderId="23" xfId="52" applyFill="1" applyBorder="1" applyProtection="1">
      <alignment horizontal="right" vertical="center"/>
      <protection locked="0"/>
    </xf>
    <xf numFmtId="170" fontId="71" fillId="82" borderId="33" xfId="52" applyFill="1" applyBorder="1" applyProtection="1">
      <alignment horizontal="right" vertical="center"/>
      <protection locked="0"/>
    </xf>
    <xf numFmtId="170" fontId="71" fillId="82" borderId="34" xfId="52" applyFill="1" applyBorder="1" applyProtection="1">
      <alignment horizontal="right" vertical="center"/>
      <protection locked="0"/>
    </xf>
    <xf numFmtId="167" fontId="39" fillId="113" borderId="167" xfId="48" applyFill="1" applyBorder="1" applyProtection="1">
      <alignment horizontal="right"/>
      <protection locked="0"/>
    </xf>
    <xf numFmtId="167" fontId="39" fillId="113" borderId="168" xfId="48" applyFill="1" applyBorder="1">
      <alignment horizontal="right"/>
      <protection locked="0"/>
    </xf>
    <xf numFmtId="167" fontId="39" fillId="113" borderId="170" xfId="48" applyFill="1" applyBorder="1" applyProtection="1">
      <alignment horizontal="right"/>
      <protection locked="0"/>
    </xf>
    <xf numFmtId="167" fontId="39" fillId="113" borderId="172" xfId="48" applyFill="1" applyBorder="1" applyProtection="1">
      <alignment horizontal="right"/>
      <protection locked="0"/>
    </xf>
    <xf numFmtId="167" fontId="39" fillId="113" borderId="173" xfId="48" applyFill="1" applyBorder="1">
      <alignment horizontal="right"/>
      <protection locked="0"/>
    </xf>
    <xf numFmtId="167" fontId="39" fillId="113" borderId="175" xfId="48" applyFill="1" applyBorder="1" applyProtection="1">
      <alignment horizontal="right"/>
      <protection locked="0"/>
    </xf>
    <xf numFmtId="167" fontId="39" fillId="113" borderId="173" xfId="48" applyFill="1" applyBorder="1" applyProtection="1">
      <alignment horizontal="right"/>
      <protection locked="0"/>
    </xf>
    <xf numFmtId="167" fontId="39" fillId="113" borderId="174" xfId="48" applyFill="1" applyBorder="1" applyProtection="1">
      <alignment horizontal="right"/>
      <protection locked="0"/>
    </xf>
    <xf numFmtId="167" fontId="39" fillId="113" borderId="268" xfId="48" applyFill="1" applyBorder="1">
      <alignment horizontal="right"/>
      <protection locked="0"/>
    </xf>
    <xf numFmtId="167" fontId="39" fillId="61" borderId="168" xfId="48" applyBorder="1" applyProtection="1">
      <alignment horizontal="right"/>
      <protection locked="0"/>
    </xf>
    <xf numFmtId="167" fontId="39" fillId="61" borderId="170" xfId="48" applyBorder="1" applyProtection="1">
      <alignment horizontal="right"/>
      <protection locked="0"/>
    </xf>
    <xf numFmtId="167" fontId="39" fillId="61" borderId="268" xfId="48" applyBorder="1" applyProtection="1">
      <alignment horizontal="right"/>
      <protection locked="0"/>
    </xf>
    <xf numFmtId="167" fontId="39" fillId="61" borderId="52" xfId="48" applyBorder="1" applyProtection="1">
      <alignment horizontal="right"/>
      <protection locked="0"/>
    </xf>
    <xf numFmtId="167" fontId="39" fillId="61" borderId="93" xfId="48" applyBorder="1" applyProtection="1">
      <alignment horizontal="right"/>
      <protection locked="0"/>
    </xf>
    <xf numFmtId="167" fontId="39" fillId="61" borderId="250" xfId="48" applyBorder="1" applyProtection="1">
      <alignment horizontal="right"/>
      <protection locked="0"/>
    </xf>
    <xf numFmtId="167" fontId="39" fillId="61" borderId="150" xfId="48" applyBorder="1" applyProtection="1">
      <alignment horizontal="right"/>
      <protection locked="0"/>
    </xf>
    <xf numFmtId="167" fontId="39" fillId="61" borderId="341" xfId="48" applyBorder="1" applyProtection="1">
      <alignment horizontal="right"/>
      <protection locked="0"/>
    </xf>
    <xf numFmtId="167" fontId="39" fillId="61" borderId="117" xfId="48" applyBorder="1" applyProtection="1">
      <alignment horizontal="right"/>
      <protection locked="0"/>
    </xf>
    <xf numFmtId="167" fontId="39" fillId="61" borderId="110" xfId="48" applyBorder="1" applyProtection="1">
      <alignment horizontal="right"/>
      <protection locked="0"/>
    </xf>
    <xf numFmtId="167" fontId="39" fillId="61" borderId="186" xfId="48" applyBorder="1" applyProtection="1">
      <alignment horizontal="right"/>
      <protection locked="0"/>
    </xf>
    <xf numFmtId="167" fontId="39" fillId="61" borderId="179" xfId="48" applyBorder="1" applyProtection="1">
      <alignment horizontal="right"/>
      <protection locked="0"/>
    </xf>
    <xf numFmtId="167" fontId="39" fillId="61" borderId="177" xfId="48" applyBorder="1" applyProtection="1">
      <alignment horizontal="right"/>
      <protection locked="0"/>
    </xf>
    <xf numFmtId="167" fontId="39" fillId="61" borderId="225" xfId="48" applyBorder="1" applyProtection="1">
      <alignment horizontal="right"/>
      <protection locked="0"/>
    </xf>
    <xf numFmtId="167" fontId="39" fillId="61" borderId="202" xfId="48" applyBorder="1" applyProtection="1">
      <alignment horizontal="right"/>
      <protection locked="0"/>
    </xf>
    <xf numFmtId="167" fontId="39" fillId="61" borderId="180" xfId="48" applyBorder="1" applyProtection="1">
      <alignment horizontal="right"/>
      <protection locked="0"/>
    </xf>
    <xf numFmtId="167" fontId="39" fillId="61" borderId="183" xfId="48" applyBorder="1" applyProtection="1">
      <alignment horizontal="right"/>
      <protection locked="0"/>
    </xf>
    <xf numFmtId="167" fontId="39" fillId="61" borderId="181" xfId="48" applyBorder="1" applyProtection="1">
      <alignment horizontal="right"/>
      <protection locked="0"/>
    </xf>
    <xf numFmtId="167" fontId="39" fillId="61" borderId="226" xfId="48" applyBorder="1" applyProtection="1">
      <alignment horizontal="right"/>
      <protection locked="0"/>
    </xf>
    <xf numFmtId="167" fontId="39" fillId="61" borderId="232" xfId="48" applyBorder="1" applyProtection="1">
      <alignment horizontal="right"/>
      <protection locked="0"/>
    </xf>
    <xf numFmtId="167" fontId="39" fillId="61" borderId="184" xfId="48" applyBorder="1" applyProtection="1">
      <alignment horizontal="right"/>
      <protection locked="0"/>
    </xf>
    <xf numFmtId="167" fontId="39" fillId="61" borderId="251" xfId="48" applyBorder="1" applyProtection="1">
      <alignment horizontal="right"/>
      <protection locked="0"/>
    </xf>
    <xf numFmtId="172" fontId="39" fillId="113" borderId="192" xfId="48" applyNumberFormat="1" applyFill="1" applyBorder="1">
      <alignment horizontal="right"/>
      <protection locked="0"/>
    </xf>
    <xf numFmtId="172" fontId="39" fillId="113" borderId="147" xfId="48" applyNumberFormat="1" applyFill="1" applyBorder="1">
      <alignment horizontal="right"/>
      <protection locked="0"/>
    </xf>
    <xf numFmtId="172" fontId="39" fillId="113" borderId="218" xfId="48" applyNumberFormat="1" applyFill="1" applyBorder="1">
      <alignment horizontal="right"/>
      <protection locked="0"/>
    </xf>
    <xf numFmtId="172" fontId="39" fillId="113" borderId="222" xfId="48" applyNumberFormat="1" applyFill="1" applyBorder="1">
      <alignment horizontal="right"/>
      <protection locked="0"/>
    </xf>
    <xf numFmtId="172" fontId="39" fillId="113" borderId="120" xfId="48" applyNumberFormat="1" applyFill="1" applyBorder="1">
      <alignment horizontal="right"/>
      <protection locked="0"/>
    </xf>
    <xf numFmtId="172" fontId="39" fillId="113" borderId="223" xfId="48" applyNumberFormat="1" applyFill="1" applyBorder="1">
      <alignment horizontal="right"/>
      <protection locked="0"/>
    </xf>
    <xf numFmtId="172" fontId="39" fillId="113" borderId="223" xfId="48" applyNumberFormat="1" applyFill="1" applyBorder="1" applyProtection="1">
      <alignment horizontal="right"/>
      <protection locked="0"/>
    </xf>
    <xf numFmtId="172" fontId="39" fillId="113" borderId="218" xfId="48" applyNumberFormat="1" applyFill="1" applyBorder="1" applyProtection="1">
      <alignment horizontal="right"/>
      <protection locked="0"/>
    </xf>
    <xf numFmtId="9" fontId="39" fillId="113" borderId="180" xfId="59" applyNumberFormat="1" applyFill="1" applyBorder="1" applyProtection="1">
      <alignment horizontal="right"/>
      <protection locked="0"/>
    </xf>
    <xf numFmtId="0" fontId="16" fillId="48" borderId="166" xfId="0" applyFont="1" applyFill="1" applyBorder="1" applyAlignment="1" applyProtection="1">
      <alignment horizontal="center" vertical="center" wrapText="1"/>
    </xf>
    <xf numFmtId="0" fontId="16" fillId="48" borderId="167" xfId="0" applyFont="1" applyFill="1" applyBorder="1" applyAlignment="1" applyProtection="1">
      <alignment horizontal="center" vertical="center" wrapText="1"/>
    </xf>
    <xf numFmtId="0" fontId="16" fillId="48" borderId="170" xfId="0" applyFont="1" applyFill="1" applyBorder="1" applyAlignment="1" applyProtection="1">
      <alignment horizontal="center" vertical="center" wrapText="1"/>
    </xf>
    <xf numFmtId="0" fontId="16" fillId="48" borderId="45" xfId="0" applyFont="1" applyFill="1" applyBorder="1" applyAlignment="1" applyProtection="1">
      <alignment horizontal="center" vertical="center" wrapText="1"/>
    </xf>
    <xf numFmtId="0" fontId="16" fillId="48" borderId="181" xfId="0" applyFont="1" applyFill="1" applyBorder="1" applyAlignment="1" applyProtection="1">
      <alignment horizontal="center" vertical="center" wrapText="1"/>
    </xf>
    <xf numFmtId="0" fontId="16" fillId="48" borderId="184" xfId="0" applyFont="1" applyFill="1" applyBorder="1" applyAlignment="1" applyProtection="1">
      <alignment horizontal="center" vertical="center" wrapText="1"/>
    </xf>
    <xf numFmtId="49" fontId="21" fillId="45" borderId="166" xfId="61" applyBorder="1">
      <alignment horizontal="center" vertical="center" wrapText="1"/>
    </xf>
    <xf numFmtId="49" fontId="21" fillId="45" borderId="167" xfId="61" applyBorder="1">
      <alignment horizontal="center" vertical="center" wrapText="1"/>
    </xf>
    <xf numFmtId="49" fontId="21" fillId="45" borderId="170" xfId="61" applyBorder="1">
      <alignment horizontal="center" vertical="center" wrapText="1"/>
    </xf>
    <xf numFmtId="49" fontId="21" fillId="45" borderId="45" xfId="61" applyBorder="1">
      <alignment horizontal="center" vertical="center" wrapText="1"/>
    </xf>
    <xf numFmtId="49" fontId="21" fillId="45" borderId="181" xfId="61" applyBorder="1">
      <alignment horizontal="center" vertical="center" wrapText="1"/>
    </xf>
    <xf numFmtId="49" fontId="21" fillId="45" borderId="184" xfId="61" applyBorder="1">
      <alignment horizontal="center" vertical="center" wrapText="1"/>
    </xf>
    <xf numFmtId="0" fontId="0" fillId="0" borderId="0" xfId="0"/>
    <xf numFmtId="0" fontId="16" fillId="34" borderId="37" xfId="0" applyFont="1" applyFill="1" applyBorder="1" applyAlignment="1">
      <alignment horizontal="center" vertical="top"/>
    </xf>
    <xf numFmtId="0" fontId="16" fillId="34" borderId="0" xfId="0" applyFont="1" applyFill="1" applyBorder="1" applyAlignment="1">
      <alignment horizontal="center" vertical="top"/>
    </xf>
    <xf numFmtId="0" fontId="112" fillId="87" borderId="275" xfId="0" applyFont="1" applyFill="1" applyBorder="1" applyAlignment="1">
      <alignment horizontal="right" vertical="center" wrapText="1"/>
    </xf>
    <xf numFmtId="0" fontId="112" fillId="87" borderId="279" xfId="0" applyFont="1" applyFill="1" applyBorder="1" applyAlignment="1">
      <alignment horizontal="right" vertical="center" wrapText="1"/>
    </xf>
    <xf numFmtId="0" fontId="112" fillId="81" borderId="0" xfId="0" applyFont="1" applyFill="1" applyBorder="1" applyAlignment="1">
      <alignment horizontal="right" vertical="center" wrapText="1"/>
    </xf>
    <xf numFmtId="0" fontId="114" fillId="86" borderId="0" xfId="0" applyFont="1" applyFill="1" applyBorder="1" applyAlignment="1">
      <alignment horizontal="right" vertical="center" wrapText="1"/>
    </xf>
    <xf numFmtId="0" fontId="0" fillId="51" borderId="36" xfId="0" applyFill="1" applyBorder="1" applyAlignment="1" applyProtection="1">
      <alignment vertical="center"/>
    </xf>
    <xf numFmtId="0" fontId="0" fillId="51" borderId="39" xfId="0" applyFill="1" applyBorder="1" applyAlignment="1" applyProtection="1">
      <alignment vertical="center"/>
    </xf>
    <xf numFmtId="0" fontId="0" fillId="51" borderId="87" xfId="0" applyFill="1" applyBorder="1" applyAlignment="1" applyProtection="1">
      <alignment vertical="center"/>
    </xf>
    <xf numFmtId="0" fontId="0" fillId="51" borderId="89" xfId="0" applyFill="1" applyBorder="1" applyAlignment="1" applyProtection="1">
      <alignment vertical="center"/>
    </xf>
    <xf numFmtId="0" fontId="114" fillId="86" borderId="38" xfId="0" applyFont="1" applyFill="1" applyBorder="1" applyAlignment="1">
      <alignment horizontal="right" vertical="center" wrapText="1"/>
    </xf>
    <xf numFmtId="0" fontId="19" fillId="86" borderId="0" xfId="0" applyFont="1" applyFill="1" applyBorder="1" applyAlignment="1">
      <alignment horizontal="right" vertical="center" wrapText="1"/>
    </xf>
    <xf numFmtId="0" fontId="112" fillId="87" borderId="283" xfId="0" applyFont="1" applyFill="1" applyBorder="1" applyAlignment="1">
      <alignment horizontal="right" vertical="center" wrapText="1"/>
    </xf>
    <xf numFmtId="0" fontId="112" fillId="87" borderId="288" xfId="0" applyFont="1" applyFill="1" applyBorder="1" applyAlignment="1">
      <alignment horizontal="right" vertical="center" wrapText="1"/>
    </xf>
    <xf numFmtId="0" fontId="112" fillId="87" borderId="289" xfId="0" applyFont="1" applyFill="1" applyBorder="1" applyAlignment="1">
      <alignment horizontal="right" vertical="center" wrapText="1"/>
    </xf>
    <xf numFmtId="0" fontId="112" fillId="87" borderId="38" xfId="0" applyFont="1" applyFill="1" applyBorder="1" applyAlignment="1">
      <alignment horizontal="right" vertical="center" wrapText="1"/>
    </xf>
    <xf numFmtId="0" fontId="112" fillId="89" borderId="38" xfId="0" applyFont="1" applyFill="1" applyBorder="1" applyAlignment="1">
      <alignment horizontal="right" vertical="center" wrapText="1"/>
    </xf>
    <xf numFmtId="0" fontId="112" fillId="89" borderId="0" xfId="0" applyFont="1" applyFill="1" applyBorder="1" applyAlignment="1">
      <alignment horizontal="right" vertical="center" wrapText="1"/>
    </xf>
    <xf numFmtId="0" fontId="112" fillId="91" borderId="0" xfId="0" applyFont="1" applyFill="1" applyBorder="1" applyAlignment="1">
      <alignment horizontal="right" vertical="center"/>
    </xf>
    <xf numFmtId="0" fontId="112" fillId="91" borderId="38" xfId="0" applyFont="1" applyFill="1" applyBorder="1" applyAlignment="1">
      <alignment horizontal="right" vertical="center"/>
    </xf>
    <xf numFmtId="0" fontId="20" fillId="56" borderId="16" xfId="0" applyFont="1" applyFill="1" applyBorder="1" applyAlignment="1" applyProtection="1">
      <alignment horizontal="left" vertical="top" wrapText="1"/>
    </xf>
    <xf numFmtId="0" fontId="20" fillId="56" borderId="18" xfId="0" applyFont="1" applyFill="1" applyBorder="1" applyAlignment="1" applyProtection="1">
      <alignment horizontal="left" vertical="top" wrapText="1"/>
    </xf>
    <xf numFmtId="0" fontId="23" fillId="44" borderId="0" xfId="0" applyFont="1" applyFill="1" applyAlignment="1">
      <alignment horizontal="center"/>
    </xf>
    <xf numFmtId="0" fontId="19" fillId="48" borderId="10" xfId="0" applyFont="1" applyFill="1" applyBorder="1" applyAlignment="1">
      <alignment horizontal="center"/>
    </xf>
    <xf numFmtId="0" fontId="19" fillId="48" borderId="11" xfId="0" applyFont="1" applyFill="1" applyBorder="1" applyAlignment="1">
      <alignment horizontal="center"/>
    </xf>
    <xf numFmtId="0" fontId="16" fillId="34" borderId="10" xfId="0" applyFont="1" applyFill="1" applyBorder="1" applyAlignment="1">
      <alignment horizontal="center"/>
    </xf>
    <xf numFmtId="0" fontId="16" fillId="34" borderId="11" xfId="0" applyFont="1" applyFill="1" applyBorder="1" applyAlignment="1">
      <alignment horizontal="center"/>
    </xf>
    <xf numFmtId="0" fontId="16" fillId="34" borderId="12" xfId="0" applyFont="1" applyFill="1" applyBorder="1" applyAlignment="1">
      <alignment horizontal="center"/>
    </xf>
    <xf numFmtId="0" fontId="19" fillId="50" borderId="36" xfId="0" applyFont="1" applyFill="1" applyBorder="1" applyAlignment="1">
      <alignment horizontal="center"/>
    </xf>
    <xf numFmtId="0" fontId="19" fillId="50" borderId="39" xfId="0" applyFont="1" applyFill="1" applyBorder="1" applyAlignment="1">
      <alignment horizontal="center"/>
    </xf>
    <xf numFmtId="0" fontId="19" fillId="50" borderId="320" xfId="0" applyFont="1" applyFill="1" applyBorder="1" applyAlignment="1">
      <alignment horizontal="center"/>
    </xf>
    <xf numFmtId="0" fontId="0" fillId="0" borderId="203" xfId="0" applyBorder="1" applyAlignment="1">
      <alignment horizontal="right" vertical="center"/>
    </xf>
    <xf numFmtId="0" fontId="0" fillId="0" borderId="199" xfId="0" applyBorder="1" applyAlignment="1">
      <alignment horizontal="right" vertical="center"/>
    </xf>
    <xf numFmtId="0" fontId="0" fillId="0" borderId="200" xfId="0" applyBorder="1" applyAlignment="1">
      <alignment horizontal="right" vertical="center"/>
    </xf>
    <xf numFmtId="0" fontId="25" fillId="48" borderId="0" xfId="0" applyFont="1" applyFill="1" applyBorder="1" applyAlignment="1" applyProtection="1">
      <alignment horizontal="left" wrapText="1"/>
      <protection locked="0"/>
    </xf>
    <xf numFmtId="0" fontId="25" fillId="48" borderId="38" xfId="0" applyFont="1" applyFill="1" applyBorder="1" applyAlignment="1" applyProtection="1">
      <alignment horizontal="left" wrapText="1"/>
      <protection locked="0"/>
    </xf>
    <xf numFmtId="0" fontId="18" fillId="69" borderId="0" xfId="0" applyFont="1" applyFill="1" applyBorder="1" applyAlignment="1" applyProtection="1">
      <alignment horizontal="left" vertical="top" wrapText="1"/>
      <protection locked="0"/>
    </xf>
    <xf numFmtId="0" fontId="0" fillId="0" borderId="262" xfId="0" applyBorder="1" applyAlignment="1">
      <alignment horizontal="right" vertical="center"/>
    </xf>
    <xf numFmtId="0" fontId="0" fillId="0" borderId="304" xfId="0" applyBorder="1" applyAlignment="1">
      <alignment horizontal="right" vertical="center"/>
    </xf>
    <xf numFmtId="0" fontId="0" fillId="0" borderId="103" xfId="0" applyBorder="1" applyAlignment="1">
      <alignment horizontal="right" vertical="center"/>
    </xf>
    <xf numFmtId="0" fontId="0" fillId="0" borderId="262" xfId="0" applyBorder="1" applyAlignment="1">
      <alignment horizontal="right" vertical="center" wrapText="1"/>
    </xf>
    <xf numFmtId="0" fontId="0" fillId="0" borderId="199" xfId="0" applyBorder="1" applyAlignment="1">
      <alignment horizontal="right" vertical="center" wrapText="1"/>
    </xf>
    <xf numFmtId="0" fontId="0" fillId="0" borderId="200" xfId="0" applyBorder="1" applyAlignment="1">
      <alignment horizontal="right" vertical="center" wrapText="1"/>
    </xf>
    <xf numFmtId="0" fontId="18" fillId="37" borderId="116" xfId="0" applyFont="1" applyFill="1" applyBorder="1" applyAlignment="1" applyProtection="1">
      <alignment horizontal="left" vertical="center" indent="4"/>
    </xf>
    <xf numFmtId="0" fontId="18" fillId="37" borderId="92" xfId="0" applyFont="1" applyFill="1" applyBorder="1" applyAlignment="1" applyProtection="1">
      <alignment horizontal="left" vertical="center" indent="4"/>
    </xf>
    <xf numFmtId="0" fontId="0" fillId="0" borderId="309" xfId="0" applyBorder="1" applyAlignment="1">
      <alignment horizontal="right" vertical="center" wrapText="1"/>
    </xf>
    <xf numFmtId="0" fontId="0" fillId="0" borderId="38" xfId="0" applyBorder="1" applyAlignment="1">
      <alignment horizontal="right" vertical="center" wrapText="1"/>
    </xf>
    <xf numFmtId="0" fontId="97" fillId="0" borderId="10" xfId="0" applyFont="1" applyFill="1" applyBorder="1" applyAlignment="1" applyProtection="1">
      <alignment horizontal="center" vertical="center"/>
    </xf>
    <xf numFmtId="0" fontId="97" fillId="0" borderId="11" xfId="0" applyFont="1" applyFill="1" applyBorder="1" applyAlignment="1" applyProtection="1">
      <alignment horizontal="center" vertical="center"/>
    </xf>
    <xf numFmtId="0" fontId="97" fillId="0" borderId="12" xfId="0" applyFont="1" applyFill="1" applyBorder="1" applyAlignment="1" applyProtection="1">
      <alignment horizontal="center" vertical="center"/>
    </xf>
    <xf numFmtId="0" fontId="98" fillId="58" borderId="16" xfId="0" applyFont="1" applyFill="1" applyBorder="1" applyAlignment="1" applyProtection="1">
      <alignment horizontal="center" vertical="center"/>
      <protection locked="0"/>
    </xf>
    <xf numFmtId="0" fontId="98" fillId="58" borderId="18" xfId="0" applyFont="1" applyFill="1" applyBorder="1" applyAlignment="1" applyProtection="1">
      <alignment horizontal="center" vertical="center"/>
      <protection locked="0"/>
    </xf>
    <xf numFmtId="0" fontId="98" fillId="58" borderId="19" xfId="0" applyFont="1" applyFill="1" applyBorder="1" applyAlignment="1" applyProtection="1">
      <alignment horizontal="center" vertical="center"/>
      <protection locked="0"/>
    </xf>
    <xf numFmtId="0" fontId="91" fillId="0" borderId="17" xfId="0" applyFont="1" applyFill="1" applyBorder="1" applyAlignment="1" applyProtection="1">
      <alignment horizontal="left" vertical="center" wrapText="1" indent="1"/>
    </xf>
    <xf numFmtId="0" fontId="91" fillId="0" borderId="18" xfId="0" applyFont="1" applyFill="1" applyBorder="1" applyAlignment="1" applyProtection="1">
      <alignment horizontal="left" vertical="center" wrapText="1" indent="1"/>
    </xf>
    <xf numFmtId="0" fontId="91" fillId="0" borderId="19" xfId="0" applyFont="1" applyFill="1" applyBorder="1" applyAlignment="1" applyProtection="1">
      <alignment horizontal="left" vertical="center" wrapText="1" indent="1"/>
    </xf>
    <xf numFmtId="0" fontId="90" fillId="58" borderId="254" xfId="0" applyFont="1" applyFill="1" applyBorder="1" applyAlignment="1">
      <alignment horizontal="right" vertical="center" indent="2"/>
    </xf>
    <xf numFmtId="0" fontId="90" fillId="58" borderId="163" xfId="0" applyFont="1" applyFill="1" applyBorder="1" applyAlignment="1">
      <alignment horizontal="right" vertical="center" indent="2"/>
    </xf>
    <xf numFmtId="0" fontId="94" fillId="0" borderId="40" xfId="0" applyFont="1" applyFill="1" applyBorder="1" applyAlignment="1" applyProtection="1">
      <alignment horizontal="left" vertical="top" wrapText="1" indent="1"/>
    </xf>
    <xf numFmtId="0" fontId="94" fillId="0" borderId="11" xfId="0" applyFont="1" applyFill="1" applyBorder="1" applyAlignment="1" applyProtection="1">
      <alignment horizontal="left" vertical="top" wrapText="1" indent="1"/>
    </xf>
    <xf numFmtId="0" fontId="69" fillId="0" borderId="193" xfId="0" quotePrefix="1" applyFont="1" applyFill="1" applyBorder="1" applyAlignment="1" applyProtection="1">
      <alignment horizontal="left" vertical="top" wrapText="1" indent="1"/>
    </xf>
    <xf numFmtId="0" fontId="69" fillId="0" borderId="14" xfId="0" quotePrefix="1" applyFont="1" applyFill="1" applyBorder="1" applyAlignment="1" applyProtection="1">
      <alignment horizontal="left" vertical="top" wrapText="1" indent="1"/>
    </xf>
    <xf numFmtId="0" fontId="69" fillId="0" borderId="15" xfId="0" quotePrefix="1" applyFont="1" applyFill="1" applyBorder="1" applyAlignment="1" applyProtection="1">
      <alignment horizontal="left" vertical="top" wrapText="1" indent="1"/>
    </xf>
    <xf numFmtId="0" fontId="90" fillId="58" borderId="255" xfId="0" applyFont="1" applyFill="1" applyBorder="1" applyAlignment="1">
      <alignment horizontal="right" vertical="center" indent="2"/>
    </xf>
    <xf numFmtId="0" fontId="79" fillId="51" borderId="40" xfId="0" quotePrefix="1" applyFont="1" applyFill="1" applyBorder="1" applyAlignment="1" applyProtection="1">
      <alignment horizontal="left" vertical="top" wrapText="1"/>
    </xf>
    <xf numFmtId="0" fontId="37" fillId="51" borderId="11" xfId="0" quotePrefix="1" applyFont="1" applyFill="1" applyBorder="1" applyAlignment="1" applyProtection="1">
      <alignment horizontal="left" vertical="top" wrapText="1"/>
    </xf>
    <xf numFmtId="0" fontId="37" fillId="51" borderId="12" xfId="0" quotePrefix="1" applyFont="1" applyFill="1" applyBorder="1" applyAlignment="1" applyProtection="1">
      <alignment horizontal="left" vertical="top" wrapText="1"/>
    </xf>
    <xf numFmtId="0" fontId="91" fillId="51" borderId="17" xfId="0" applyFont="1" applyFill="1" applyBorder="1" applyAlignment="1" applyProtection="1">
      <alignment horizontal="left" vertical="top" wrapText="1" indent="1"/>
    </xf>
    <xf numFmtId="0" fontId="91" fillId="51" borderId="18" xfId="0" applyFont="1" applyFill="1" applyBorder="1" applyAlignment="1" applyProtection="1">
      <alignment horizontal="left" vertical="top" wrapText="1" indent="1"/>
    </xf>
    <xf numFmtId="0" fontId="91" fillId="51" borderId="19" xfId="0" applyFont="1" applyFill="1" applyBorder="1" applyAlignment="1" applyProtection="1">
      <alignment horizontal="left" vertical="top" wrapText="1" indent="1"/>
    </xf>
    <xf numFmtId="0" fontId="79" fillId="0" borderId="13" xfId="0" applyFont="1" applyFill="1" applyBorder="1" applyAlignment="1" applyProtection="1">
      <alignment horizontal="center" vertical="center" wrapText="1"/>
    </xf>
    <xf numFmtId="0" fontId="79" fillId="0" borderId="14" xfId="0" applyFont="1" applyFill="1" applyBorder="1" applyAlignment="1" applyProtection="1">
      <alignment horizontal="center" vertical="center" wrapText="1"/>
    </xf>
    <xf numFmtId="0" fontId="79" fillId="0" borderId="15" xfId="0" applyFont="1" applyFill="1" applyBorder="1" applyAlignment="1" applyProtection="1">
      <alignment horizontal="center" vertical="center" wrapText="1"/>
    </xf>
    <xf numFmtId="0" fontId="97" fillId="0" borderId="37" xfId="0" applyFont="1" applyFill="1" applyBorder="1" applyAlignment="1" applyProtection="1">
      <alignment horizontal="center" vertical="center"/>
    </xf>
    <xf numFmtId="0" fontId="97" fillId="0" borderId="0" xfId="0" applyFont="1" applyFill="1" applyBorder="1" applyAlignment="1" applyProtection="1">
      <alignment horizontal="center" vertical="center"/>
    </xf>
    <xf numFmtId="0" fontId="97" fillId="0" borderId="38" xfId="0" applyFont="1" applyFill="1" applyBorder="1" applyAlignment="1" applyProtection="1">
      <alignment horizontal="center" vertical="center"/>
    </xf>
    <xf numFmtId="0" fontId="37" fillId="51" borderId="17" xfId="0" quotePrefix="1" applyFont="1" applyFill="1" applyBorder="1" applyAlignment="1" applyProtection="1">
      <alignment horizontal="left" vertical="top" wrapText="1" indent="1"/>
    </xf>
    <xf numFmtId="0" fontId="69" fillId="51" borderId="18" xfId="0" quotePrefix="1" applyFont="1" applyFill="1" applyBorder="1" applyAlignment="1" applyProtection="1">
      <alignment horizontal="left" vertical="top" wrapText="1" indent="1"/>
    </xf>
    <xf numFmtId="0" fontId="69" fillId="51" borderId="19" xfId="0" quotePrefix="1" applyFont="1" applyFill="1" applyBorder="1" applyAlignment="1" applyProtection="1">
      <alignment horizontal="left" vertical="top" wrapText="1" indent="1"/>
    </xf>
    <xf numFmtId="0" fontId="37" fillId="51" borderId="40" xfId="0" quotePrefix="1" applyFont="1" applyFill="1" applyBorder="1" applyAlignment="1" applyProtection="1">
      <alignment horizontal="left" vertical="top" wrapText="1" indent="1"/>
    </xf>
    <xf numFmtId="0" fontId="37" fillId="51" borderId="11" xfId="0" quotePrefix="1" applyFont="1" applyFill="1" applyBorder="1" applyAlignment="1" applyProtection="1">
      <alignment horizontal="left" vertical="top" wrapText="1" indent="1"/>
    </xf>
    <xf numFmtId="0" fontId="37" fillId="51" borderId="12" xfId="0" quotePrefix="1" applyFont="1" applyFill="1" applyBorder="1" applyAlignment="1" applyProtection="1">
      <alignment horizontal="left" vertical="top" wrapText="1" indent="1"/>
    </xf>
    <xf numFmtId="0" fontId="69" fillId="51" borderId="199" xfId="0" quotePrefix="1" applyFont="1" applyFill="1" applyBorder="1" applyAlignment="1" applyProtection="1">
      <alignment horizontal="left" vertical="center" wrapText="1" indent="1"/>
    </xf>
    <xf numFmtId="0" fontId="69" fillId="51" borderId="0" xfId="0" quotePrefix="1" applyFont="1" applyFill="1" applyBorder="1" applyAlignment="1" applyProtection="1">
      <alignment horizontal="left" vertical="center" wrapText="1" indent="1"/>
    </xf>
    <xf numFmtId="0" fontId="91" fillId="51" borderId="193" xfId="0" quotePrefix="1" applyFont="1" applyFill="1" applyBorder="1" applyAlignment="1" applyProtection="1">
      <alignment horizontal="left" vertical="center" wrapText="1" indent="1"/>
    </xf>
    <xf numFmtId="0" fontId="91" fillId="51" borderId="14" xfId="0" quotePrefix="1" applyFont="1" applyFill="1" applyBorder="1" applyAlignment="1" applyProtection="1">
      <alignment horizontal="left" vertical="center" wrapText="1" indent="1"/>
    </xf>
    <xf numFmtId="0" fontId="91" fillId="51" borderId="15" xfId="0" quotePrefix="1" applyFont="1" applyFill="1" applyBorder="1" applyAlignment="1" applyProtection="1">
      <alignment horizontal="left" vertical="center" wrapText="1" indent="1"/>
    </xf>
    <xf numFmtId="0" fontId="79" fillId="0" borderId="17" xfId="0" quotePrefix="1" applyFont="1" applyFill="1" applyBorder="1" applyAlignment="1" applyProtection="1">
      <alignment horizontal="left" vertical="top" wrapText="1" indent="1"/>
    </xf>
    <xf numFmtId="0" fontId="79" fillId="0" borderId="18" xfId="0" quotePrefix="1" applyFont="1" applyFill="1" applyBorder="1" applyAlignment="1" applyProtection="1">
      <alignment horizontal="left" vertical="top" wrapText="1" indent="1"/>
    </xf>
    <xf numFmtId="0" fontId="79" fillId="0" borderId="19" xfId="0" quotePrefix="1" applyFont="1" applyFill="1" applyBorder="1" applyAlignment="1" applyProtection="1">
      <alignment horizontal="left" vertical="top" wrapText="1" indent="1"/>
    </xf>
    <xf numFmtId="0" fontId="88" fillId="52" borderId="0" xfId="0" applyFont="1" applyFill="1" applyBorder="1" applyAlignment="1">
      <alignment horizontal="center"/>
    </xf>
    <xf numFmtId="49" fontId="35" fillId="58" borderId="0" xfId="50" applyFill="1" applyAlignment="1">
      <alignment horizontal="center" vertical="center"/>
    </xf>
    <xf numFmtId="0" fontId="35" fillId="57" borderId="0" xfId="43" applyFont="1">
      <alignment vertical="center"/>
    </xf>
    <xf numFmtId="0" fontId="69" fillId="62" borderId="0" xfId="43" applyFont="1" applyFill="1" applyAlignment="1">
      <alignment horizontal="justify" vertical="center" wrapText="1"/>
    </xf>
    <xf numFmtId="49" fontId="122" fillId="58" borderId="0" xfId="50" applyFont="1" applyAlignment="1">
      <alignment horizontal="center" vertical="center"/>
    </xf>
    <xf numFmtId="0" fontId="107" fillId="68" borderId="0" xfId="0" applyFont="1" applyFill="1" applyBorder="1" applyAlignment="1">
      <alignment horizontal="right" vertical="center"/>
    </xf>
    <xf numFmtId="0" fontId="57" fillId="69" borderId="0" xfId="0" applyFont="1" applyFill="1" applyAlignment="1" applyProtection="1">
      <alignment vertical="center"/>
      <protection locked="0"/>
    </xf>
    <xf numFmtId="0" fontId="107" fillId="68" borderId="0" xfId="0" applyFont="1" applyFill="1" applyBorder="1" applyAlignment="1">
      <alignment horizontal="right"/>
    </xf>
    <xf numFmtId="0" fontId="20" fillId="69" borderId="250" xfId="0" applyFont="1" applyFill="1" applyBorder="1" applyAlignment="1" applyProtection="1">
      <alignment horizontal="left"/>
      <protection locked="0"/>
    </xf>
    <xf numFmtId="0" fontId="20" fillId="69" borderId="52" xfId="0" applyFont="1" applyFill="1" applyBorder="1" applyAlignment="1" applyProtection="1">
      <alignment horizontal="left"/>
      <protection locked="0"/>
    </xf>
    <xf numFmtId="0" fontId="20" fillId="69" borderId="117" xfId="0" applyFont="1" applyFill="1" applyBorder="1" applyAlignment="1" applyProtection="1">
      <alignment horizontal="left"/>
      <protection locked="0"/>
    </xf>
    <xf numFmtId="0" fontId="20" fillId="69" borderId="0" xfId="0" applyFont="1" applyFill="1" applyAlignment="1" applyProtection="1">
      <protection locked="0"/>
    </xf>
    <xf numFmtId="0" fontId="124" fillId="68" borderId="0" xfId="0" quotePrefix="1" applyFont="1" applyFill="1" applyBorder="1" applyAlignment="1">
      <alignment horizontal="right" vertical="center"/>
    </xf>
    <xf numFmtId="0" fontId="124" fillId="68" borderId="0" xfId="0" applyFont="1" applyFill="1" applyBorder="1" applyAlignment="1">
      <alignment horizontal="right" vertical="center"/>
    </xf>
    <xf numFmtId="165" fontId="57" fillId="44" borderId="0" xfId="0" applyNumberFormat="1" applyFont="1" applyFill="1" applyAlignment="1">
      <alignment horizontal="left" vertical="center" wrapText="1"/>
    </xf>
    <xf numFmtId="0" fontId="20" fillId="69" borderId="0" xfId="0" quotePrefix="1" applyFont="1" applyFill="1" applyBorder="1" applyAlignment="1" applyProtection="1">
      <protection locked="0"/>
    </xf>
    <xf numFmtId="174" fontId="20" fillId="69" borderId="0" xfId="0" quotePrefix="1" applyNumberFormat="1" applyFont="1" applyFill="1" applyBorder="1" applyAlignment="1" applyProtection="1">
      <alignment horizontal="left"/>
      <protection locked="0"/>
    </xf>
    <xf numFmtId="0" fontId="20" fillId="44" borderId="0" xfId="0" applyFont="1" applyFill="1" applyAlignment="1">
      <alignment horizontal="left"/>
    </xf>
    <xf numFmtId="0" fontId="20" fillId="69" borderId="0" xfId="0" applyFont="1" applyFill="1" applyAlignment="1" applyProtection="1">
      <alignment horizontal="left"/>
      <protection locked="0"/>
    </xf>
    <xf numFmtId="0" fontId="36" fillId="68" borderId="0" xfId="0" applyFont="1" applyFill="1" applyBorder="1" applyAlignment="1">
      <alignment horizontal="right" vertical="top"/>
    </xf>
    <xf numFmtId="0" fontId="37" fillId="69" borderId="0" xfId="0" applyFont="1" applyFill="1" applyBorder="1" applyAlignment="1" applyProtection="1">
      <alignment horizontal="center" vertical="top"/>
      <protection locked="0"/>
    </xf>
    <xf numFmtId="0" fontId="37" fillId="44" borderId="0" xfId="0" applyFont="1" applyFill="1" applyBorder="1" applyAlignment="1">
      <alignment horizontal="center" vertical="top"/>
    </xf>
    <xf numFmtId="0" fontId="37" fillId="94" borderId="0" xfId="0" quotePrefix="1" applyFont="1" applyFill="1" applyBorder="1" applyAlignment="1" applyProtection="1">
      <alignment horizontal="center" vertical="center"/>
    </xf>
    <xf numFmtId="0" fontId="25" fillId="44" borderId="0" xfId="0" applyFont="1" applyFill="1" applyAlignment="1" applyProtection="1">
      <alignment horizontal="left" vertical="top" indent="1"/>
    </xf>
    <xf numFmtId="0" fontId="36" fillId="68" borderId="0" xfId="0" applyFont="1" applyFill="1" applyBorder="1" applyAlignment="1">
      <alignment horizontal="right" vertical="top" wrapText="1"/>
    </xf>
    <xf numFmtId="0" fontId="20" fillId="69" borderId="0" xfId="0" applyFont="1" applyFill="1" applyAlignment="1" applyProtection="1">
      <alignment horizontal="left" vertical="top" indent="1"/>
      <protection locked="0"/>
    </xf>
    <xf numFmtId="14" fontId="25" fillId="69" borderId="0" xfId="0" quotePrefix="1" applyNumberFormat="1" applyFont="1" applyFill="1" applyAlignment="1" applyProtection="1">
      <alignment horizontal="left" vertical="top" indent="1"/>
      <protection locked="0"/>
    </xf>
    <xf numFmtId="14" fontId="25" fillId="69" borderId="0" xfId="0" applyNumberFormat="1" applyFont="1" applyFill="1" applyAlignment="1" applyProtection="1">
      <alignment horizontal="left" vertical="top" indent="1"/>
      <protection locked="0"/>
    </xf>
    <xf numFmtId="0" fontId="25" fillId="69" borderId="0" xfId="0" applyFont="1" applyFill="1" applyAlignment="1" applyProtection="1">
      <alignment horizontal="left" vertical="top" indent="1"/>
      <protection locked="0"/>
    </xf>
    <xf numFmtId="0" fontId="21" fillId="41" borderId="21" xfId="53" applyBorder="1">
      <alignment horizontal="center" vertical="center" wrapText="1"/>
    </xf>
    <xf numFmtId="0" fontId="21" fillId="41" borderId="49" xfId="53" applyBorder="1">
      <alignment horizontal="center" vertical="center" wrapText="1"/>
    </xf>
    <xf numFmtId="0" fontId="21" fillId="41" borderId="92" xfId="53" applyBorder="1">
      <alignment horizontal="center" vertical="center" wrapText="1"/>
    </xf>
    <xf numFmtId="0" fontId="21" fillId="41" borderId="236" xfId="53" applyBorder="1">
      <alignment horizontal="center" vertical="center" wrapText="1"/>
    </xf>
    <xf numFmtId="0" fontId="21" fillId="41" borderId="79" xfId="53" applyBorder="1" applyAlignment="1">
      <alignment horizontal="center" vertical="center" wrapText="1"/>
    </xf>
    <xf numFmtId="0" fontId="21" fillId="41" borderId="111" xfId="53" applyBorder="1" applyAlignment="1">
      <alignment horizontal="center" vertical="center" wrapText="1"/>
    </xf>
    <xf numFmtId="0" fontId="21" fillId="41" borderId="80" xfId="53" applyBorder="1" applyAlignment="1">
      <alignment horizontal="center" vertical="center" wrapText="1"/>
    </xf>
    <xf numFmtId="0" fontId="21" fillId="41" borderId="249" xfId="53" applyBorder="1" applyAlignment="1">
      <alignment horizontal="center" vertical="center" wrapText="1"/>
    </xf>
    <xf numFmtId="0" fontId="21" fillId="41" borderId="118" xfId="53" applyBorder="1" applyAlignment="1">
      <alignment horizontal="center" vertical="center" wrapText="1"/>
    </xf>
    <xf numFmtId="0" fontId="21" fillId="41" borderId="119" xfId="53" applyBorder="1" applyAlignment="1">
      <alignment horizontal="center" vertical="center" wrapText="1"/>
    </xf>
    <xf numFmtId="49" fontId="21" fillId="45" borderId="21" xfId="61" applyBorder="1">
      <alignment horizontal="center" vertical="center" wrapText="1"/>
    </xf>
    <xf numFmtId="49" fontId="21" fillId="45" borderId="22" xfId="61" applyBorder="1">
      <alignment horizontal="center" vertical="center" wrapText="1"/>
    </xf>
    <xf numFmtId="49" fontId="21" fillId="45" borderId="23" xfId="61" applyBorder="1">
      <alignment horizontal="center" vertical="center" wrapText="1"/>
    </xf>
    <xf numFmtId="49" fontId="21" fillId="45" borderId="164" xfId="61" applyBorder="1">
      <alignment horizontal="center" vertical="center" wrapText="1"/>
    </xf>
    <xf numFmtId="49" fontId="21" fillId="45" borderId="120" xfId="61" applyBorder="1">
      <alignment horizontal="center" vertical="center" wrapText="1"/>
    </xf>
    <xf numFmtId="49" fontId="21" fillId="45" borderId="165" xfId="61" applyBorder="1">
      <alignment horizontal="center" vertical="center" wrapText="1"/>
    </xf>
    <xf numFmtId="49" fontId="21" fillId="45" borderId="92" xfId="61" applyBorder="1">
      <alignment horizontal="center" vertical="center" wrapText="1"/>
    </xf>
    <xf numFmtId="49" fontId="21" fillId="45" borderId="250" xfId="61" applyBorder="1">
      <alignment horizontal="center" vertical="center" wrapText="1"/>
    </xf>
    <xf numFmtId="49" fontId="21" fillId="45" borderId="52" xfId="61" applyBorder="1">
      <alignment horizontal="center" vertical="center" wrapText="1"/>
    </xf>
    <xf numFmtId="49" fontId="21" fillId="45" borderId="150" xfId="61" applyBorder="1">
      <alignment horizontal="center" vertical="center" wrapText="1"/>
    </xf>
    <xf numFmtId="49" fontId="21" fillId="45" borderId="314" xfId="61" applyBorder="1">
      <alignment horizontal="center" vertical="center" wrapText="1"/>
    </xf>
    <xf numFmtId="49" fontId="21" fillId="45" borderId="79" xfId="61" applyBorder="1" applyAlignment="1">
      <alignment horizontal="center" vertical="center" wrapText="1"/>
    </xf>
    <xf numFmtId="49" fontId="21" fillId="45" borderId="111" xfId="61" applyBorder="1" applyAlignment="1">
      <alignment horizontal="center" vertical="center" wrapText="1"/>
    </xf>
    <xf numFmtId="49" fontId="21" fillId="45" borderId="80" xfId="61" applyBorder="1" applyAlignment="1">
      <alignment horizontal="center" vertical="center" wrapText="1"/>
    </xf>
    <xf numFmtId="49" fontId="21" fillId="45" borderId="248" xfId="61" applyBorder="1" applyAlignment="1">
      <alignment horizontal="center" vertical="center" wrapText="1"/>
    </xf>
    <xf numFmtId="49" fontId="21" fillId="45" borderId="106" xfId="61" applyBorder="1" applyAlignment="1">
      <alignment horizontal="center" vertical="center" wrapText="1"/>
    </xf>
    <xf numFmtId="49" fontId="21" fillId="45" borderId="247" xfId="61" applyBorder="1" applyAlignment="1">
      <alignment horizontal="center" vertical="center" wrapText="1"/>
    </xf>
    <xf numFmtId="49" fontId="21" fillId="45" borderId="194" xfId="61" applyBorder="1">
      <alignment horizontal="center" vertical="center" wrapText="1"/>
    </xf>
    <xf numFmtId="0" fontId="21" fillId="41" borderId="189" xfId="53" applyBorder="1">
      <alignment horizontal="center" vertical="center" wrapText="1"/>
    </xf>
    <xf numFmtId="0" fontId="21" fillId="41" borderId="260" xfId="53" applyBorder="1">
      <alignment horizontal="center" vertical="center" wrapText="1"/>
    </xf>
    <xf numFmtId="0" fontId="21" fillId="41" borderId="261" xfId="53" applyBorder="1">
      <alignment horizontal="center" vertical="center" wrapText="1"/>
    </xf>
    <xf numFmtId="0" fontId="21" fillId="41" borderId="263" xfId="53" applyBorder="1">
      <alignment horizontal="center" vertical="center" wrapText="1"/>
    </xf>
    <xf numFmtId="0" fontId="21" fillId="41" borderId="262" xfId="53" applyBorder="1">
      <alignment horizontal="center" vertical="center" wrapText="1"/>
    </xf>
    <xf numFmtId="0" fontId="21" fillId="41" borderId="264" xfId="53" applyBorder="1">
      <alignment horizontal="center" vertical="center" wrapText="1"/>
    </xf>
    <xf numFmtId="0" fontId="18" fillId="62" borderId="204" xfId="0" applyFont="1" applyFill="1" applyBorder="1" applyAlignment="1">
      <alignment horizontal="left" vertical="center" wrapText="1" indent="2"/>
    </xf>
    <xf numFmtId="0" fontId="18" fillId="62" borderId="201" xfId="0" applyFont="1" applyFill="1" applyBorder="1" applyAlignment="1">
      <alignment horizontal="left" vertical="center" wrapText="1" indent="2"/>
    </xf>
    <xf numFmtId="0" fontId="21" fillId="41" borderId="90" xfId="53" applyBorder="1">
      <alignment horizontal="center" vertical="center" wrapText="1"/>
    </xf>
    <xf numFmtId="0" fontId="21" fillId="41" borderId="94" xfId="53" applyBorder="1">
      <alignment horizontal="center" vertical="center" wrapText="1"/>
    </xf>
    <xf numFmtId="0" fontId="18" fillId="62" borderId="199" xfId="0" applyFont="1" applyFill="1" applyBorder="1" applyAlignment="1">
      <alignment horizontal="left" vertical="center" wrapText="1" indent="2"/>
    </xf>
    <xf numFmtId="0" fontId="19" fillId="62" borderId="0" xfId="0" applyFont="1" applyFill="1" applyBorder="1" applyAlignment="1">
      <alignment horizontal="left" vertical="center" wrapText="1" indent="2"/>
    </xf>
    <xf numFmtId="0" fontId="18" fillId="62" borderId="0" xfId="0" applyFont="1" applyFill="1" applyBorder="1" applyAlignment="1">
      <alignment horizontal="left" vertical="center" wrapText="1" indent="2"/>
    </xf>
    <xf numFmtId="0" fontId="0" fillId="62" borderId="0" xfId="0" applyFill="1" applyBorder="1" applyAlignment="1">
      <alignment horizontal="left" vertical="center" wrapText="1" indent="2"/>
    </xf>
    <xf numFmtId="0" fontId="18" fillId="62" borderId="101" xfId="0" applyFont="1" applyFill="1" applyBorder="1" applyAlignment="1">
      <alignment horizontal="left" vertical="center" wrapText="1" indent="2"/>
    </xf>
    <xf numFmtId="0" fontId="18" fillId="62" borderId="203" xfId="0" applyFont="1" applyFill="1" applyBorder="1" applyAlignment="1">
      <alignment horizontal="left" vertical="center" wrapText="1" indent="2"/>
    </xf>
    <xf numFmtId="0" fontId="18" fillId="62" borderId="200" xfId="0" applyFont="1" applyFill="1" applyBorder="1" applyAlignment="1">
      <alignment horizontal="left" vertical="center" wrapText="1" indent="2"/>
    </xf>
    <xf numFmtId="0" fontId="19" fillId="62" borderId="100" xfId="0" applyFont="1" applyFill="1" applyBorder="1" applyAlignment="1">
      <alignment horizontal="left" vertical="center" wrapText="1" indent="2"/>
    </xf>
    <xf numFmtId="0" fontId="19" fillId="62" borderId="108" xfId="0" applyFont="1" applyFill="1" applyBorder="1" applyAlignment="1">
      <alignment horizontal="left" vertical="center" wrapText="1" indent="2"/>
    </xf>
    <xf numFmtId="0" fontId="18" fillId="62" borderId="100" xfId="0" applyFont="1" applyFill="1" applyBorder="1" applyAlignment="1">
      <alignment horizontal="left" vertical="center" wrapText="1" indent="2"/>
    </xf>
    <xf numFmtId="0" fontId="0" fillId="62" borderId="108" xfId="0" applyFill="1" applyBorder="1" applyAlignment="1">
      <alignment horizontal="left" vertical="center" wrapText="1" indent="2"/>
    </xf>
    <xf numFmtId="0" fontId="18" fillId="62" borderId="108" xfId="0" applyFont="1" applyFill="1" applyBorder="1" applyAlignment="1">
      <alignment horizontal="left" vertical="center" wrapText="1" indent="2"/>
    </xf>
    <xf numFmtId="49" fontId="21" fillId="45" borderId="210" xfId="61" applyBorder="1">
      <alignment horizontal="center" vertical="center" wrapText="1"/>
    </xf>
    <xf numFmtId="49" fontId="21" fillId="45" borderId="211" xfId="61" applyBorder="1">
      <alignment horizontal="center" vertical="center" wrapText="1"/>
    </xf>
    <xf numFmtId="49" fontId="21" fillId="45" borderId="212" xfId="61" applyBorder="1">
      <alignment horizontal="center" vertical="center" wrapText="1"/>
    </xf>
    <xf numFmtId="0" fontId="21" fillId="41" borderId="92" xfId="53">
      <alignment horizontal="center" vertical="center" wrapText="1"/>
    </xf>
    <xf numFmtId="0" fontId="21" fillId="41" borderId="32" xfId="53" applyBorder="1">
      <alignment horizontal="center" vertical="center" wrapText="1"/>
    </xf>
    <xf numFmtId="0" fontId="16" fillId="48" borderId="253" xfId="0" applyFont="1" applyFill="1" applyBorder="1" applyAlignment="1" applyProtection="1">
      <alignment horizontal="center" vertical="center" wrapText="1"/>
    </xf>
    <xf numFmtId="0" fontId="16" fillId="48" borderId="226" xfId="0" applyFont="1" applyFill="1" applyBorder="1" applyAlignment="1" applyProtection="1">
      <alignment horizontal="center" vertical="center" wrapText="1"/>
    </xf>
  </cellXfs>
  <cellStyles count="135">
    <cellStyle name="20% - Accent1" xfId="19" builtinId="30" hidden="1"/>
    <cellStyle name="20% - Accent1 2" xfId="71"/>
    <cellStyle name="20% - Accent2" xfId="23" builtinId="34" hidden="1"/>
    <cellStyle name="20% - Accent2 2" xfId="72"/>
    <cellStyle name="20% - Accent3" xfId="27" builtinId="38" hidden="1"/>
    <cellStyle name="20% - Accent3 2" xfId="73"/>
    <cellStyle name="20% - Accent4" xfId="31" builtinId="42" hidden="1"/>
    <cellStyle name="20% - Accent4 2" xfId="74"/>
    <cellStyle name="20% - Accent5" xfId="35" builtinId="46" hidden="1"/>
    <cellStyle name="20% - Accent5 2" xfId="75"/>
    <cellStyle name="20% - Accent6" xfId="39" builtinId="50" hidden="1"/>
    <cellStyle name="20% - Accent6 2" xfId="76"/>
    <cellStyle name="40% - Accent1" xfId="20" builtinId="31" hidden="1"/>
    <cellStyle name="40% - Accent1 2" xfId="77"/>
    <cellStyle name="40% - Accent2" xfId="24" builtinId="35" hidden="1"/>
    <cellStyle name="40% - Accent2 2" xfId="78"/>
    <cellStyle name="40% - Accent3" xfId="28" builtinId="39" hidden="1"/>
    <cellStyle name="40% - Accent3 2" xfId="79"/>
    <cellStyle name="40% - Accent4" xfId="32" builtinId="43" hidden="1"/>
    <cellStyle name="40% - Accent4 2" xfId="80"/>
    <cellStyle name="40% - Accent5" xfId="36" builtinId="47" hidden="1"/>
    <cellStyle name="40% - Accent5 2" xfId="81"/>
    <cellStyle name="40% - Accent6" xfId="40" builtinId="51" hidden="1"/>
    <cellStyle name="40% - Accent6 2" xfId="82"/>
    <cellStyle name="60% - Accent1" xfId="21" builtinId="32" hidden="1"/>
    <cellStyle name="60% - Accent1 2" xfId="83"/>
    <cellStyle name="60% - Accent2" xfId="25" builtinId="36" hidden="1"/>
    <cellStyle name="60% - Accent2 2" xfId="84"/>
    <cellStyle name="60% - Accent3" xfId="29" builtinId="40" hidden="1"/>
    <cellStyle name="60% - Accent3 2" xfId="85"/>
    <cellStyle name="60% - Accent4" xfId="33" builtinId="44" hidden="1"/>
    <cellStyle name="60% - Accent4 2" xfId="86"/>
    <cellStyle name="60% - Accent5" xfId="37" builtinId="48" hidden="1"/>
    <cellStyle name="60% - Accent5 2" xfId="87"/>
    <cellStyle name="60% - Accent6" xfId="41" builtinId="52" hidden="1"/>
    <cellStyle name="60% - Accent6 2" xfId="88"/>
    <cellStyle name="Accent1" xfId="18" builtinId="29" hidden="1"/>
    <cellStyle name="Accent1 2" xfId="89"/>
    <cellStyle name="Accent2" xfId="22" builtinId="33" hidden="1"/>
    <cellStyle name="Accent2 2" xfId="90"/>
    <cellStyle name="Accent3" xfId="26" builtinId="37" hidden="1"/>
    <cellStyle name="Accent3 2" xfId="91"/>
    <cellStyle name="Accent4" xfId="30" builtinId="41" hidden="1"/>
    <cellStyle name="Accent4 2" xfId="92"/>
    <cellStyle name="Accent5" xfId="34" builtinId="45" hidden="1"/>
    <cellStyle name="Accent5 2" xfId="93"/>
    <cellStyle name="Accent6" xfId="38" builtinId="49" hidden="1"/>
    <cellStyle name="Accent6 2" xfId="94"/>
    <cellStyle name="Bad" xfId="7" builtinId="27" hidden="1"/>
    <cellStyle name="Bad 2" xfId="95"/>
    <cellStyle name="Blockout" xfId="96"/>
    <cellStyle name="Calculation" xfId="11" builtinId="22" hidden="1"/>
    <cellStyle name="Calculation 2" xfId="97"/>
    <cellStyle name="Check Cell" xfId="13" builtinId="23" hidden="1"/>
    <cellStyle name="Check Cell 2" xfId="98"/>
    <cellStyle name="Comma 2" xfId="99"/>
    <cellStyle name="Comma 3" xfId="100"/>
    <cellStyle name="Comma 4" xfId="101"/>
    <cellStyle name="Comma 5" xfId="102"/>
    <cellStyle name="dms_1" xfId="44"/>
    <cellStyle name="dms_2" xfId="45"/>
    <cellStyle name="dms_3" xfId="46"/>
    <cellStyle name="dms_4" xfId="47"/>
    <cellStyle name="dms_4 2" xfId="69"/>
    <cellStyle name="dms_5 2" xfId="70"/>
    <cellStyle name="dms_BFill" xfId="42"/>
    <cellStyle name="dms_BH" xfId="53"/>
    <cellStyle name="dms_BY1" xfId="54"/>
    <cellStyle name="dms_BY2" xfId="55"/>
    <cellStyle name="dms_GH" xfId="61"/>
    <cellStyle name="dms_GreyFill" xfId="51"/>
    <cellStyle name="dms_GY1" xfId="62"/>
    <cellStyle name="dms_GY2" xfId="63"/>
    <cellStyle name="dms_H" xfId="43"/>
    <cellStyle name="dms_NUM" xfId="48"/>
    <cellStyle name="dms_Num%" xfId="59"/>
    <cellStyle name="dms_Row_Locked" xfId="49"/>
    <cellStyle name="dms_Row1" xfId="57"/>
    <cellStyle name="dms_Row2" xfId="56"/>
    <cellStyle name="dms_T1" xfId="52"/>
    <cellStyle name="dms_T2" xfId="64"/>
    <cellStyle name="dms_THG" xfId="68"/>
    <cellStyle name="dms_TopHeader" xfId="50"/>
    <cellStyle name="Explanatory Text" xfId="16" builtinId="53" hidden="1"/>
    <cellStyle name="Explanatory Text 2" xfId="103"/>
    <cellStyle name="Good" xfId="6" builtinId="26" hidden="1"/>
    <cellStyle name="Good 2" xfId="104"/>
    <cellStyle name="Heading 1" xfId="2" builtinId="16" hidden="1"/>
    <cellStyle name="Heading 1 2" xfId="105"/>
    <cellStyle name="Heading 2" xfId="3" builtinId="17" hidden="1"/>
    <cellStyle name="Heading 2 2" xfId="106"/>
    <cellStyle name="Heading 3" xfId="4" builtinId="18" hidden="1"/>
    <cellStyle name="Heading 3 2" xfId="107"/>
    <cellStyle name="Heading 4" xfId="5" builtinId="19" hidden="1"/>
    <cellStyle name="Heading 4 2" xfId="108"/>
    <cellStyle name="Hyperlink" xfId="65" builtinId="8" hidden="1"/>
    <cellStyle name="Hyperlink" xfId="66" builtinId="8" hidden="1"/>
    <cellStyle name="Hyperlink" xfId="67" builtinId="8"/>
    <cellStyle name="Hyperlink 2" xfId="60"/>
    <cellStyle name="Input" xfId="9" builtinId="20" hidden="1"/>
    <cellStyle name="Input 2" xfId="109"/>
    <cellStyle name="Input1" xfId="110"/>
    <cellStyle name="Input2" xfId="111"/>
    <cellStyle name="Input3" xfId="112"/>
    <cellStyle name="Linked Cell" xfId="12" builtinId="24" hidden="1"/>
    <cellStyle name="Linked Cell 2" xfId="113"/>
    <cellStyle name="Neutral" xfId="8" builtinId="28" hidden="1"/>
    <cellStyle name="Neutral 2" xfId="114"/>
    <cellStyle name="Normal" xfId="0" builtinId="0"/>
    <cellStyle name="Normal 114" xfId="115"/>
    <cellStyle name="Normal 2" xfId="116"/>
    <cellStyle name="Normal 2 2" xfId="117"/>
    <cellStyle name="Normal 3" xfId="118"/>
    <cellStyle name="Normal 4" xfId="119"/>
    <cellStyle name="Normal 4 2" xfId="120"/>
    <cellStyle name="Normal 4 3" xfId="121"/>
    <cellStyle name="Normal 5" xfId="122"/>
    <cellStyle name="Normal 6" xfId="123"/>
    <cellStyle name="Normal 6 2" xfId="124"/>
    <cellStyle name="Normal 7" xfId="125"/>
    <cellStyle name="Normal 7 2" xfId="126"/>
    <cellStyle name="Normal 8" xfId="127"/>
    <cellStyle name="Note" xfId="15" builtinId="10" hidden="1"/>
    <cellStyle name="Note 2" xfId="128"/>
    <cellStyle name="Output" xfId="10" builtinId="21" hidden="1"/>
    <cellStyle name="Output 2" xfId="129"/>
    <cellStyle name="Percent" xfId="58" builtinId="5"/>
    <cellStyle name="Percent 2" xfId="130"/>
    <cellStyle name="Style 1" xfId="131"/>
    <cellStyle name="Title" xfId="1" builtinId="15" hidden="1"/>
    <cellStyle name="Title 2" xfId="132"/>
    <cellStyle name="Total" xfId="17" builtinId="25" hidden="1"/>
    <cellStyle name="Total 2" xfId="133"/>
    <cellStyle name="Warning Text" xfId="14" builtinId="11" hidden="1"/>
    <cellStyle name="Warning Text 2" xfId="134"/>
  </cellStyles>
  <dxfs count="78">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5"/>
      </font>
    </dxf>
    <dxf>
      <fill>
        <patternFill>
          <bgColor rgb="FFFFFF00"/>
        </patternFill>
      </fill>
    </dxf>
    <dxf>
      <fill>
        <patternFill>
          <bgColor rgb="FFFFFF00"/>
        </patternFill>
      </fill>
    </dxf>
    <dxf>
      <font>
        <color rgb="FF9C0006"/>
      </font>
      <fill>
        <patternFill>
          <bgColor rgb="FFFFC7CE"/>
        </patternFill>
      </fill>
    </dxf>
    <dxf>
      <font>
        <b/>
        <i val="0"/>
        <color rgb="FFFF0000"/>
      </font>
      <fill>
        <patternFill patternType="solid">
          <bgColor theme="0" tint="-0.24994659260841701"/>
        </patternFill>
      </fill>
    </dxf>
    <dxf>
      <font>
        <b/>
        <i val="0"/>
        <color rgb="FFFF0000"/>
      </font>
    </dxf>
    <dxf>
      <font>
        <b/>
        <i val="0"/>
        <color rgb="FFFF0000"/>
      </font>
    </dxf>
    <dxf>
      <font>
        <b/>
        <i val="0"/>
        <color rgb="FFFF0000"/>
      </font>
      <border>
        <vertical/>
        <horizontal/>
      </border>
    </dxf>
    <dxf>
      <font>
        <b/>
        <i val="0"/>
        <color rgb="FFFF0000"/>
      </font>
    </dxf>
    <dxf>
      <font>
        <b/>
        <i val="0"/>
        <color rgb="FFFF0000"/>
      </font>
    </dxf>
    <dxf>
      <font>
        <b val="0"/>
        <i val="0"/>
        <strike val="0"/>
        <condense val="0"/>
        <extend val="0"/>
        <outline val="0"/>
        <shadow val="0"/>
        <u val="none"/>
        <vertAlign val="baseline"/>
        <sz val="11"/>
        <color theme="1"/>
        <name val="Arial"/>
        <scheme val="none"/>
      </font>
      <numFmt numFmtId="0" formatCode="General"/>
      <fill>
        <patternFill patternType="solid">
          <fgColor indexed="64"/>
          <bgColor theme="0"/>
        </patternFill>
      </fill>
      <alignment horizontal="general" vertical="top"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theme="4" tint="-0.249977111117893"/>
        <name val="Calibri"/>
        <scheme val="minor"/>
      </font>
      <numFmt numFmtId="0" formatCode="General"/>
      <fill>
        <patternFill patternType="solid">
          <fgColor theme="4" tint="0.79998168889431442"/>
          <bgColor theme="4" tint="0.79998168889431442"/>
        </patternFill>
      </fill>
      <alignment horizontal="general" vertical="bottom" textRotation="0" wrapText="0" indent="0" justifyLastLine="0" shrinkToFit="0" readingOrder="0"/>
      <border diagonalUp="0" diagonalDown="0">
        <left style="medium">
          <color indexed="64"/>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theme="4" tint="0.79998168889431442"/>
          <bgColor theme="4" tint="0.79998168889431442"/>
        </patternFill>
      </fill>
      <alignment horizontal="general" vertical="bottom"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1"/>
        <color theme="4" tint="-0.249977111117893"/>
        <name val="Calibri"/>
        <scheme val="minor"/>
      </font>
      <numFmt numFmtId="0" formatCode="General"/>
      <fill>
        <patternFill patternType="solid">
          <fgColor theme="4" tint="0.79998168889431442"/>
          <bgColor theme="4" tint="0.79998168889431442"/>
        </patternFill>
      </fill>
      <alignment horizontal="general" vertical="bottom"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1"/>
        <color theme="4" tint="-0.249977111117893"/>
        <name val="Calibri"/>
        <scheme val="minor"/>
      </font>
      <numFmt numFmtId="0" formatCode="General"/>
      <fill>
        <patternFill patternType="solid">
          <fgColor theme="4" tint="0.79998168889431442"/>
          <bgColor theme="4" tint="0.79998168889431442"/>
        </patternFill>
      </fill>
      <alignment horizontal="general" vertical="bottom"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1"/>
        <color theme="4" tint="-0.249977111117893"/>
        <name val="Calibri"/>
        <scheme val="minor"/>
      </font>
      <numFmt numFmtId="0" formatCode="General"/>
      <fill>
        <patternFill patternType="solid">
          <fgColor theme="4" tint="0.79998168889431442"/>
          <bgColor theme="4" tint="0.79998168889431442"/>
        </patternFill>
      </fill>
      <alignment horizontal="general" vertical="bottom" textRotation="0" wrapText="0" indent="0" justifyLastLine="0" shrinkToFit="0" readingOrder="0"/>
      <border diagonalUp="0" diagonalDown="0">
        <left style="medium">
          <color indexed="64"/>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166"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medium">
          <color indexed="64"/>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166"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medium">
          <color indexed="64"/>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theme="4" tint="0.79998168889431442"/>
          <bgColor theme="4" tint="0.79998168889431442"/>
        </patternFill>
      </fill>
      <alignment horizontal="general" vertical="top"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theme="4" tint="0.79998168889431442"/>
          <bgColor theme="4" tint="0.79998168889431442"/>
        </patternFill>
      </fill>
      <alignment horizontal="center" vertical="top" textRotation="0" wrapText="0" indent="0" justifyLastLine="0" shrinkToFit="0" readingOrder="0"/>
      <border diagonalUp="0" diagonalDown="0">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theme="0" tint="-0.14999847407452621"/>
          <bgColor theme="0" tint="-0.14999847407452621"/>
        </patternFill>
      </fill>
      <alignment horizontal="center" vertical="top" textRotation="0" wrapText="0" indent="0" justifyLastLine="0" shrinkToFit="0" readingOrder="0"/>
      <border diagonalUp="0" diagonalDown="0">
        <left style="medium">
          <color indexed="64"/>
        </left>
        <right/>
        <top style="thin">
          <color theme="0" tint="-0.2499465926084170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0"/>
        </patternFill>
      </fill>
      <alignment horizontal="general" vertical="top" textRotation="0" wrapText="0" indent="0" justifyLastLine="0" shrinkToFit="0" readingOrder="0"/>
      <border diagonalUp="0" diagonalDown="0">
        <left/>
        <right/>
        <top style="thin">
          <color theme="0" tint="-0.2499465926084170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0"/>
        </patternFill>
      </fill>
      <alignment horizontal="center" vertical="top"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0"/>
        </patternFill>
      </fill>
      <alignment horizontal="general" vertical="top"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theme="4" tint="0.79998168889431442"/>
          <bgColor theme="4" tint="0.79998168889431442"/>
        </patternFill>
      </fill>
      <alignment horizontal="general" vertical="top"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theme="4" tint="0.79998168889431442"/>
          <bgColor theme="4" tint="0.79998168889431442"/>
        </patternFill>
      </fill>
      <alignment horizontal="general" vertical="top"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theme="4" tint="0.79998168889431442"/>
          <bgColor theme="4" tint="0.79998168889431442"/>
        </patternFill>
      </fill>
      <alignment horizontal="left" vertical="top" textRotation="0" wrapText="0" indent="0" justifyLastLine="0" shrinkToFit="0" readingOrder="0"/>
      <border diagonalUp="0" diagonalDown="0">
        <left style="medium">
          <color indexed="64"/>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165" formatCode="##\ ###\ ###\ ###\ ##0"/>
      <fill>
        <patternFill patternType="solid">
          <fgColor indexed="64"/>
          <bgColor theme="0"/>
        </patternFill>
      </fill>
      <alignment horizontal="right" vertical="top" textRotation="0" wrapText="0" indent="1" justifyLastLine="0" shrinkToFit="0" readingOrder="0"/>
      <border diagonalUp="0" diagonalDown="0">
        <left style="thin">
          <color theme="0" tint="-0.34998626667073579"/>
        </left>
        <right/>
        <top style="thin">
          <color theme="0" tint="-0.34998626667073579"/>
        </top>
        <bottom/>
        <vertical/>
        <horizontal/>
      </border>
    </dxf>
    <dxf>
      <font>
        <b val="0"/>
        <i val="0"/>
        <strike val="0"/>
        <condense val="0"/>
        <extend val="0"/>
        <outline val="0"/>
        <shadow val="0"/>
        <u val="none"/>
        <vertAlign val="baseline"/>
        <sz val="11"/>
        <color theme="1"/>
        <name val="Arial"/>
        <scheme val="none"/>
      </font>
      <numFmt numFmtId="0" formatCode="General"/>
      <fill>
        <patternFill patternType="solid">
          <fgColor indexed="64"/>
          <bgColor theme="0"/>
        </patternFill>
      </fill>
      <alignment horizontal="general" vertical="top" textRotation="0" wrapText="0" indent="0" justifyLastLine="0" shrinkToFit="0" readingOrder="0"/>
      <border diagonalUp="0" diagonalDown="0">
        <left style="medium">
          <color indexed="64"/>
        </left>
        <right/>
        <top style="thin">
          <color theme="0" tint="-0.34998626667073579"/>
        </top>
        <bottom/>
        <vertical/>
        <horizontal/>
      </border>
    </dxf>
    <dxf>
      <font>
        <b val="0"/>
        <i val="0"/>
        <strike val="0"/>
        <condense val="0"/>
        <extend val="0"/>
        <outline val="0"/>
        <shadow val="0"/>
        <u val="none"/>
        <vertAlign val="baseline"/>
        <sz val="11"/>
        <color theme="1"/>
        <name val="Arial"/>
        <scheme val="none"/>
      </font>
      <numFmt numFmtId="0" formatCode="General"/>
      <fill>
        <patternFill patternType="solid">
          <fgColor indexed="64"/>
          <bgColor theme="0"/>
        </patternFill>
      </fill>
      <alignment horizontal="general" vertical="top" textRotation="0" wrapText="0" indent="0" justifyLastLine="0" shrinkToFit="0" readingOrder="0"/>
      <border diagonalUp="0" diagonalDown="0">
        <left/>
        <right/>
        <top style="thin">
          <color theme="0" tint="-0.34998626667073579"/>
        </top>
        <bottom/>
        <vertical/>
        <horizontal/>
      </border>
    </dxf>
    <dxf>
      <border outline="0">
        <left style="medium">
          <color indexed="64"/>
        </left>
      </border>
    </dxf>
    <dxf>
      <fill>
        <patternFill>
          <bgColor rgb="FFFFFF99"/>
        </patternFill>
      </fill>
    </dxf>
    <dxf>
      <fill>
        <patternFill>
          <bgColor theme="6" tint="0.59996337778862885"/>
        </patternFill>
      </fill>
    </dxf>
    <dxf>
      <fill>
        <patternFill>
          <bgColor theme="0" tint="-0.24994659260841701"/>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1209675</xdr:colOff>
      <xdr:row>0</xdr:row>
      <xdr:rowOff>0</xdr:rowOff>
    </xdr:from>
    <xdr:to>
      <xdr:col>13</xdr:col>
      <xdr:colOff>190500</xdr:colOff>
      <xdr:row>2</xdr:row>
      <xdr:rowOff>352425</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1710988" y="0"/>
          <a:ext cx="6326981"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0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0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0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0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1374321</xdr:colOff>
      <xdr:row>0</xdr:row>
      <xdr:rowOff>0</xdr:rowOff>
    </xdr:from>
    <xdr:to>
      <xdr:col>10</xdr:col>
      <xdr:colOff>757599</xdr:colOff>
      <xdr:row>2</xdr:row>
      <xdr:rowOff>352425</xdr:rowOff>
    </xdr:to>
    <xdr:grpSp>
      <xdr:nvGrpSpPr>
        <xdr:cNvPr id="14" name="Group 13">
          <a:extLst>
            <a:ext uri="{FF2B5EF4-FFF2-40B4-BE49-F238E27FC236}">
              <a16:creationId xmlns:a16="http://schemas.microsoft.com/office/drawing/2014/main" id="{00000000-0008-0000-0E00-00000E000000}"/>
            </a:ext>
          </a:extLst>
        </xdr:cNvPr>
        <xdr:cNvGrpSpPr/>
      </xdr:nvGrpSpPr>
      <xdr:grpSpPr>
        <a:xfrm>
          <a:off x="13256759" y="0"/>
          <a:ext cx="6288903"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E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E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E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E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E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E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503464</xdr:colOff>
      <xdr:row>0</xdr:row>
      <xdr:rowOff>0</xdr:rowOff>
    </xdr:from>
    <xdr:to>
      <xdr:col>10</xdr:col>
      <xdr:colOff>1274670</xdr:colOff>
      <xdr:row>2</xdr:row>
      <xdr:rowOff>352425</xdr:rowOff>
    </xdr:to>
    <xdr:grpSp>
      <xdr:nvGrpSpPr>
        <xdr:cNvPr id="14" name="Group 13">
          <a:extLst>
            <a:ext uri="{FF2B5EF4-FFF2-40B4-BE49-F238E27FC236}">
              <a16:creationId xmlns:a16="http://schemas.microsoft.com/office/drawing/2014/main" id="{00000000-0008-0000-0F00-00000E000000}"/>
            </a:ext>
          </a:extLst>
        </xdr:cNvPr>
        <xdr:cNvGrpSpPr/>
      </xdr:nvGrpSpPr>
      <xdr:grpSpPr>
        <a:xfrm>
          <a:off x="10897620"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F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F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F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F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F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F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78194"/>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304800</xdr:colOff>
      <xdr:row>0</xdr:row>
      <xdr:rowOff>12700</xdr:rowOff>
    </xdr:from>
    <xdr:to>
      <xdr:col>10</xdr:col>
      <xdr:colOff>1076006</xdr:colOff>
      <xdr:row>2</xdr:row>
      <xdr:rowOff>339725</xdr:rowOff>
    </xdr:to>
    <xdr:grpSp>
      <xdr:nvGrpSpPr>
        <xdr:cNvPr id="14" name="Group 13">
          <a:extLst>
            <a:ext uri="{FF2B5EF4-FFF2-40B4-BE49-F238E27FC236}">
              <a16:creationId xmlns:a16="http://schemas.microsoft.com/office/drawing/2014/main" id="{00000000-0008-0000-1000-00000E000000}"/>
            </a:ext>
          </a:extLst>
        </xdr:cNvPr>
        <xdr:cNvGrpSpPr/>
      </xdr:nvGrpSpPr>
      <xdr:grpSpPr>
        <a:xfrm>
          <a:off x="11472863" y="12700"/>
          <a:ext cx="6295706" cy="1112838"/>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0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0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0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0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0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0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7</xdr:col>
      <xdr:colOff>380999</xdr:colOff>
      <xdr:row>0</xdr:row>
      <xdr:rowOff>0</xdr:rowOff>
    </xdr:from>
    <xdr:to>
      <xdr:col>11</xdr:col>
      <xdr:colOff>1152205</xdr:colOff>
      <xdr:row>2</xdr:row>
      <xdr:rowOff>352425</xdr:rowOff>
    </xdr:to>
    <xdr:grpSp>
      <xdr:nvGrpSpPr>
        <xdr:cNvPr id="14" name="Group 13">
          <a:extLst>
            <a:ext uri="{FF2B5EF4-FFF2-40B4-BE49-F238E27FC236}">
              <a16:creationId xmlns:a16="http://schemas.microsoft.com/office/drawing/2014/main" id="{00000000-0008-0000-1100-00000E000000}"/>
            </a:ext>
          </a:extLst>
        </xdr:cNvPr>
        <xdr:cNvGrpSpPr/>
      </xdr:nvGrpSpPr>
      <xdr:grpSpPr>
        <a:xfrm>
          <a:off x="11965780"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1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1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1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1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1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1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974912</xdr:colOff>
      <xdr:row>0</xdr:row>
      <xdr:rowOff>0</xdr:rowOff>
    </xdr:from>
    <xdr:to>
      <xdr:col>10</xdr:col>
      <xdr:colOff>838442</xdr:colOff>
      <xdr:row>2</xdr:row>
      <xdr:rowOff>352425</xdr:rowOff>
    </xdr:to>
    <xdr:grpSp>
      <xdr:nvGrpSpPr>
        <xdr:cNvPr id="14" name="Group 13">
          <a:extLst>
            <a:ext uri="{FF2B5EF4-FFF2-40B4-BE49-F238E27FC236}">
              <a16:creationId xmlns:a16="http://schemas.microsoft.com/office/drawing/2014/main" id="{00000000-0008-0000-1200-00000E000000}"/>
            </a:ext>
          </a:extLst>
        </xdr:cNvPr>
        <xdr:cNvGrpSpPr/>
      </xdr:nvGrpSpPr>
      <xdr:grpSpPr>
        <a:xfrm>
          <a:off x="10093512" y="0"/>
          <a:ext cx="6277030"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2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2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2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2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2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2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1265464</xdr:colOff>
      <xdr:row>0</xdr:row>
      <xdr:rowOff>0</xdr:rowOff>
    </xdr:from>
    <xdr:to>
      <xdr:col>10</xdr:col>
      <xdr:colOff>648741</xdr:colOff>
      <xdr:row>2</xdr:row>
      <xdr:rowOff>352425</xdr:rowOff>
    </xdr:to>
    <xdr:grpSp>
      <xdr:nvGrpSpPr>
        <xdr:cNvPr id="14" name="Group 13">
          <a:extLst>
            <a:ext uri="{FF2B5EF4-FFF2-40B4-BE49-F238E27FC236}">
              <a16:creationId xmlns:a16="http://schemas.microsoft.com/office/drawing/2014/main" id="{00000000-0008-0000-1300-00000E000000}"/>
            </a:ext>
          </a:extLst>
        </xdr:cNvPr>
        <xdr:cNvGrpSpPr/>
      </xdr:nvGrpSpPr>
      <xdr:grpSpPr>
        <a:xfrm>
          <a:off x="11261111" y="0"/>
          <a:ext cx="6274895"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3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3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3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3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3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3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1374321</xdr:colOff>
      <xdr:row>0</xdr:row>
      <xdr:rowOff>0</xdr:rowOff>
    </xdr:from>
    <xdr:to>
      <xdr:col>8</xdr:col>
      <xdr:colOff>757598</xdr:colOff>
      <xdr:row>2</xdr:row>
      <xdr:rowOff>352425</xdr:rowOff>
    </xdr:to>
    <xdr:grpSp>
      <xdr:nvGrpSpPr>
        <xdr:cNvPr id="14" name="Group 13">
          <a:extLst>
            <a:ext uri="{FF2B5EF4-FFF2-40B4-BE49-F238E27FC236}">
              <a16:creationId xmlns:a16="http://schemas.microsoft.com/office/drawing/2014/main" id="{00000000-0008-0000-1400-00000E000000}"/>
            </a:ext>
          </a:extLst>
        </xdr:cNvPr>
        <xdr:cNvGrpSpPr/>
      </xdr:nvGrpSpPr>
      <xdr:grpSpPr>
        <a:xfrm>
          <a:off x="11389178" y="0"/>
          <a:ext cx="6322920"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4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4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4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4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4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4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1156607</xdr:colOff>
      <xdr:row>0</xdr:row>
      <xdr:rowOff>0</xdr:rowOff>
    </xdr:from>
    <xdr:to>
      <xdr:col>10</xdr:col>
      <xdr:colOff>546688</xdr:colOff>
      <xdr:row>2</xdr:row>
      <xdr:rowOff>352425</xdr:rowOff>
    </xdr:to>
    <xdr:grpSp>
      <xdr:nvGrpSpPr>
        <xdr:cNvPr id="19" name="Group 18">
          <a:extLst>
            <a:ext uri="{FF2B5EF4-FFF2-40B4-BE49-F238E27FC236}">
              <a16:creationId xmlns:a16="http://schemas.microsoft.com/office/drawing/2014/main" id="{00000000-0008-0000-1500-000013000000}"/>
            </a:ext>
          </a:extLst>
        </xdr:cNvPr>
        <xdr:cNvGrpSpPr/>
      </xdr:nvGrpSpPr>
      <xdr:grpSpPr>
        <a:xfrm>
          <a:off x="12219214" y="0"/>
          <a:ext cx="6329724" cy="1114425"/>
          <a:chOff x="73103757" y="1954480"/>
          <a:chExt cx="6045197" cy="1566195"/>
        </a:xfrm>
      </xdr:grpSpPr>
      <xdr:sp macro="[0]!MarkConfidential" textlink="">
        <xdr:nvSpPr>
          <xdr:cNvPr id="20" name="Rounded Rectangle 19">
            <a:extLst>
              <a:ext uri="{FF2B5EF4-FFF2-40B4-BE49-F238E27FC236}">
                <a16:creationId xmlns:a16="http://schemas.microsoft.com/office/drawing/2014/main" id="{00000000-0008-0000-1500-000014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1" name="Rounded Rectangle 20">
            <a:extLst>
              <a:ext uri="{FF2B5EF4-FFF2-40B4-BE49-F238E27FC236}">
                <a16:creationId xmlns:a16="http://schemas.microsoft.com/office/drawing/2014/main" id="{00000000-0008-0000-1500-000015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2" name="Rounded Rectangle 21">
            <a:extLst>
              <a:ext uri="{FF2B5EF4-FFF2-40B4-BE49-F238E27FC236}">
                <a16:creationId xmlns:a16="http://schemas.microsoft.com/office/drawing/2014/main" id="{00000000-0008-0000-1500-000016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23" name="Rounded Rectangle 22">
            <a:extLst>
              <a:ext uri="{FF2B5EF4-FFF2-40B4-BE49-F238E27FC236}">
                <a16:creationId xmlns:a16="http://schemas.microsoft.com/office/drawing/2014/main" id="{00000000-0008-0000-1500-000017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4" name="Rounded Rectangle 23">
            <a:extLst>
              <a:ext uri="{FF2B5EF4-FFF2-40B4-BE49-F238E27FC236}">
                <a16:creationId xmlns:a16="http://schemas.microsoft.com/office/drawing/2014/main" id="{00000000-0008-0000-1500-000018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5" name="Rounded Rectangle 24">
            <a:extLst>
              <a:ext uri="{FF2B5EF4-FFF2-40B4-BE49-F238E27FC236}">
                <a16:creationId xmlns:a16="http://schemas.microsoft.com/office/drawing/2014/main" id="{00000000-0008-0000-1500-000019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889000</xdr:colOff>
      <xdr:row>0</xdr:row>
      <xdr:rowOff>0</xdr:rowOff>
    </xdr:from>
    <xdr:to>
      <xdr:col>10</xdr:col>
      <xdr:colOff>275906</xdr:colOff>
      <xdr:row>2</xdr:row>
      <xdr:rowOff>352425</xdr:rowOff>
    </xdr:to>
    <xdr:grpSp>
      <xdr:nvGrpSpPr>
        <xdr:cNvPr id="14" name="Group 13">
          <a:extLst>
            <a:ext uri="{FF2B5EF4-FFF2-40B4-BE49-F238E27FC236}">
              <a16:creationId xmlns:a16="http://schemas.microsoft.com/office/drawing/2014/main" id="{00000000-0008-0000-1600-00000E000000}"/>
            </a:ext>
          </a:extLst>
        </xdr:cNvPr>
        <xdr:cNvGrpSpPr/>
      </xdr:nvGrpSpPr>
      <xdr:grpSpPr>
        <a:xfrm>
          <a:off x="12049125" y="0"/>
          <a:ext cx="6292531"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6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6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6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6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6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6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802821</xdr:colOff>
      <xdr:row>0</xdr:row>
      <xdr:rowOff>0</xdr:rowOff>
    </xdr:from>
    <xdr:to>
      <xdr:col>10</xdr:col>
      <xdr:colOff>866456</xdr:colOff>
      <xdr:row>2</xdr:row>
      <xdr:rowOff>352425</xdr:rowOff>
    </xdr:to>
    <xdr:grpSp>
      <xdr:nvGrpSpPr>
        <xdr:cNvPr id="14" name="Group 13">
          <a:extLst>
            <a:ext uri="{FF2B5EF4-FFF2-40B4-BE49-F238E27FC236}">
              <a16:creationId xmlns:a16="http://schemas.microsoft.com/office/drawing/2014/main" id="{00000000-0008-0000-1700-00000E000000}"/>
            </a:ext>
          </a:extLst>
        </xdr:cNvPr>
        <xdr:cNvGrpSpPr/>
      </xdr:nvGrpSpPr>
      <xdr:grpSpPr>
        <a:xfrm>
          <a:off x="11039021" y="0"/>
          <a:ext cx="6286635"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7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7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7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7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7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7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17609</xdr:colOff>
      <xdr:row>26</xdr:row>
      <xdr:rowOff>1279072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2782999</xdr:colOff>
      <xdr:row>7</xdr:row>
      <xdr:rowOff>121443</xdr:rowOff>
    </xdr:from>
    <xdr:to>
      <xdr:col>4</xdr:col>
      <xdr:colOff>697965</xdr:colOff>
      <xdr:row>7</xdr:row>
      <xdr:rowOff>1546269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4651149" y="6874668"/>
          <a:ext cx="2804092"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085850"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457200</xdr:colOff>
      <xdr:row>0</xdr:row>
      <xdr:rowOff>0</xdr:rowOff>
    </xdr:from>
    <xdr:to>
      <xdr:col>10</xdr:col>
      <xdr:colOff>520835</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10506075" y="0"/>
          <a:ext cx="631441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571500</xdr:colOff>
      <xdr:row>0</xdr:row>
      <xdr:rowOff>0</xdr:rowOff>
    </xdr:from>
    <xdr:to>
      <xdr:col>10</xdr:col>
      <xdr:colOff>1361416</xdr:colOff>
      <xdr:row>2</xdr:row>
      <xdr:rowOff>352425</xdr:rowOff>
    </xdr:to>
    <xdr:grpSp>
      <xdr:nvGrpSpPr>
        <xdr:cNvPr id="14" name="Group 13">
          <a:extLst>
            <a:ext uri="{FF2B5EF4-FFF2-40B4-BE49-F238E27FC236}">
              <a16:creationId xmlns:a16="http://schemas.microsoft.com/office/drawing/2014/main" id="{00000000-0008-0000-1900-00000E000000}"/>
            </a:ext>
          </a:extLst>
        </xdr:cNvPr>
        <xdr:cNvGrpSpPr/>
      </xdr:nvGrpSpPr>
      <xdr:grpSpPr>
        <a:xfrm>
          <a:off x="11477625" y="0"/>
          <a:ext cx="631441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9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9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9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9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9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9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2069</xdr:colOff>
      <xdr:row>0</xdr:row>
      <xdr:rowOff>61083</xdr:rowOff>
    </xdr:from>
    <xdr:to>
      <xdr:col>15</xdr:col>
      <xdr:colOff>77129</xdr:colOff>
      <xdr:row>2</xdr:row>
      <xdr:rowOff>327782</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1430819" y="61083"/>
          <a:ext cx="1325216" cy="1028699"/>
          <a:chOff x="997323" y="22412"/>
          <a:chExt cx="1154206" cy="117661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90767</xdr:colOff>
      <xdr:row>0</xdr:row>
      <xdr:rowOff>19051</xdr:rowOff>
    </xdr:from>
    <xdr:to>
      <xdr:col>0</xdr:col>
      <xdr:colOff>1509992</xdr:colOff>
      <xdr:row>4</xdr:row>
      <xdr:rowOff>1</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90767"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347383</xdr:colOff>
      <xdr:row>0</xdr:row>
      <xdr:rowOff>0</xdr:rowOff>
    </xdr:from>
    <xdr:to>
      <xdr:col>10</xdr:col>
      <xdr:colOff>1143001</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10697883" y="0"/>
          <a:ext cx="6332818"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427424</xdr:colOff>
      <xdr:row>0</xdr:row>
      <xdr:rowOff>0</xdr:rowOff>
    </xdr:from>
    <xdr:to>
      <xdr:col>10</xdr:col>
      <xdr:colOff>1198630</xdr:colOff>
      <xdr:row>2</xdr:row>
      <xdr:rowOff>352425</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943024" y="0"/>
          <a:ext cx="63084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9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9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9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9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9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9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508000</xdr:colOff>
      <xdr:row>0</xdr:row>
      <xdr:rowOff>0</xdr:rowOff>
    </xdr:from>
    <xdr:to>
      <xdr:col>10</xdr:col>
      <xdr:colOff>1279206</xdr:colOff>
      <xdr:row>2</xdr:row>
      <xdr:rowOff>352425</xdr:rowOff>
    </xdr:to>
    <xdr:grpSp>
      <xdr:nvGrpSpPr>
        <xdr:cNvPr id="14" name="Group 13">
          <a:extLst>
            <a:ext uri="{FF2B5EF4-FFF2-40B4-BE49-F238E27FC236}">
              <a16:creationId xmlns:a16="http://schemas.microsoft.com/office/drawing/2014/main" id="{00000000-0008-0000-0A00-00000E000000}"/>
            </a:ext>
          </a:extLst>
        </xdr:cNvPr>
        <xdr:cNvGrpSpPr/>
      </xdr:nvGrpSpPr>
      <xdr:grpSpPr>
        <a:xfrm>
          <a:off x="11023600" y="0"/>
          <a:ext cx="63084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A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A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A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A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A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A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1250155</xdr:colOff>
      <xdr:row>0</xdr:row>
      <xdr:rowOff>0</xdr:rowOff>
    </xdr:from>
    <xdr:to>
      <xdr:col>9</xdr:col>
      <xdr:colOff>56830</xdr:colOff>
      <xdr:row>2</xdr:row>
      <xdr:rowOff>352425</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1890941" y="0"/>
          <a:ext cx="6317818"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B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B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B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B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B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7</xdr:col>
      <xdr:colOff>425824</xdr:colOff>
      <xdr:row>0</xdr:row>
      <xdr:rowOff>0</xdr:rowOff>
    </xdr:from>
    <xdr:to>
      <xdr:col>11</xdr:col>
      <xdr:colOff>1197029</xdr:colOff>
      <xdr:row>2</xdr:row>
      <xdr:rowOff>352425</xdr:rowOff>
    </xdr:to>
    <xdr:grpSp>
      <xdr:nvGrpSpPr>
        <xdr:cNvPr id="14" name="Group 13">
          <a:extLst>
            <a:ext uri="{FF2B5EF4-FFF2-40B4-BE49-F238E27FC236}">
              <a16:creationId xmlns:a16="http://schemas.microsoft.com/office/drawing/2014/main" id="{00000000-0008-0000-0C00-00000E000000}"/>
            </a:ext>
          </a:extLst>
        </xdr:cNvPr>
        <xdr:cNvGrpSpPr/>
      </xdr:nvGrpSpPr>
      <xdr:grpSpPr>
        <a:xfrm>
          <a:off x="11855824" y="0"/>
          <a:ext cx="6295705"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C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C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C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C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C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C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1162050</xdr:colOff>
      <xdr:row>0</xdr:row>
      <xdr:rowOff>0</xdr:rowOff>
    </xdr:from>
    <xdr:to>
      <xdr:col>10</xdr:col>
      <xdr:colOff>1093695</xdr:colOff>
      <xdr:row>2</xdr:row>
      <xdr:rowOff>352425</xdr:rowOff>
    </xdr:to>
    <xdr:grpSp>
      <xdr:nvGrpSpPr>
        <xdr:cNvPr id="14" name="Group 13">
          <a:extLst>
            <a:ext uri="{FF2B5EF4-FFF2-40B4-BE49-F238E27FC236}">
              <a16:creationId xmlns:a16="http://schemas.microsoft.com/office/drawing/2014/main" id="{00000000-0008-0000-0D00-00000E000000}"/>
            </a:ext>
          </a:extLst>
        </xdr:cNvPr>
        <xdr:cNvGrpSpPr/>
      </xdr:nvGrpSpPr>
      <xdr:grpSpPr>
        <a:xfrm>
          <a:off x="10115550" y="0"/>
          <a:ext cx="618242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D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D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D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D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D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D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ables/table1.xml><?xml version="1.0" encoding="utf-8"?>
<table xmlns="http://schemas.openxmlformats.org/spreadsheetml/2006/main" id="1" name="Table1" displayName="Table1" ref="B12:AL18" totalsRowShown="0" tableBorderDxfId="74">
  <autoFilter ref="B12:AL18"/>
  <sortState ref="B13:AL24">
    <sortCondition ref="B12:B24"/>
  </sortState>
  <tableColumns count="37">
    <tableColumn id="1" name="dms_TradingName_List" dataDxfId="73"/>
    <tableColumn id="2" name="dms_TradingNameFull_List" dataDxfId="72"/>
    <tableColumn id="3" name="dms_ABN_List" dataDxfId="71"/>
    <tableColumn id="4" name="dms_JurisdictionList" dataDxfId="70"/>
    <tableColumn id="5" name="dms_Sector_List" dataDxfId="69"/>
    <tableColumn id="6" name="dms_Segment_List" dataDxfId="68"/>
    <tableColumn id="7" name="dms_FormControl_List" dataDxfId="67"/>
    <tableColumn id="8" name="dms_RPT_List" dataDxfId="66"/>
    <tableColumn id="9" name="dms_RPTMonth_List" dataDxfId="65"/>
    <tableColumn id="10" name="dms_CRCPlength_List" dataDxfId="64"/>
    <tableColumn id="11" name="dms_FRCPlength_List"/>
    <tableColumn id="12" name="dms_PRCPlength_List"/>
    <tableColumn id="13" name="dms_663_List" dataDxfId="63"/>
    <tableColumn id="14" name="dms_DeterminationRef_List" dataDxfId="62"/>
    <tableColumn id="15" name="dms_Addr1_List" dataDxfId="61"/>
    <tableColumn id="16" name="dms_Addr2_List" dataDxfId="60"/>
    <tableColumn id="17" name="dms_Suburb_List" dataDxfId="59"/>
    <tableColumn id="18" name="dms_State_List" dataDxfId="58"/>
    <tableColumn id="19" name="dms_PostCode_List" dataDxfId="57"/>
    <tableColumn id="20" name="dms_PAddr1_List" dataDxfId="56"/>
    <tableColumn id="21" name="dms_PAddr2_List" dataDxfId="55"/>
    <tableColumn id="22" name="dms_PSuburb_List" dataDxfId="54"/>
    <tableColumn id="23" name="dms_PState_List" dataDxfId="53"/>
    <tableColumn id="24" name="dms_PPostCode_List" dataDxfId="52"/>
    <tableColumn id="28" name="dms_CBD_flag"/>
    <tableColumn id="29" name="dms_Urban_flag"/>
    <tableColumn id="30" name="dms_ShortRural_flag"/>
    <tableColumn id="31" name="dms_LongRural_flag"/>
    <tableColumn id="32" name="dms_FeederType_5_flag"/>
    <tableColumn id="33" name="dms_MAIFI_flag_List"/>
    <tableColumn id="34" name="dms_FeederName_1" dataDxfId="51"/>
    <tableColumn id="35" name="dms_FeederName_2" dataDxfId="50"/>
    <tableColumn id="36" name="dms_FeederName_3" dataDxfId="49"/>
    <tableColumn id="37" name="dms_FeederName_4" dataDxfId="48"/>
    <tableColumn id="38" name="dms_FeederName_5" dataDxfId="47"/>
    <tableColumn id="39" name="dms_Public_Lighting_List"/>
    <tableColumn id="40" name="Name" dataDxfId="46">
      <calculatedColumnFormula>Table1[[#This Row],[dms_TradingName_List]]</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10.bin"/><Relationship Id="rId4"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11.bin"/><Relationship Id="rId4"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12.bin"/><Relationship Id="rId4"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13.bin"/><Relationship Id="rId4"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8.bin"/><Relationship Id="rId2" Type="http://schemas.openxmlformats.org/officeDocument/2006/relationships/customProperty" Target="../customProperty27.bin"/><Relationship Id="rId1" Type="http://schemas.openxmlformats.org/officeDocument/2006/relationships/printerSettings" Target="../printerSettings/printerSettings14.bin"/><Relationship Id="rId4"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30.bin"/><Relationship Id="rId2" Type="http://schemas.openxmlformats.org/officeDocument/2006/relationships/customProperty" Target="../customProperty29.bin"/><Relationship Id="rId1" Type="http://schemas.openxmlformats.org/officeDocument/2006/relationships/printerSettings" Target="../printerSettings/printerSettings15.bin"/><Relationship Id="rId4"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32.bin"/><Relationship Id="rId2" Type="http://schemas.openxmlformats.org/officeDocument/2006/relationships/customProperty" Target="../customProperty31.bin"/><Relationship Id="rId1" Type="http://schemas.openxmlformats.org/officeDocument/2006/relationships/printerSettings" Target="../printerSettings/printerSettings16.bin"/><Relationship Id="rId4"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34.bin"/><Relationship Id="rId2" Type="http://schemas.openxmlformats.org/officeDocument/2006/relationships/customProperty" Target="../customProperty33.bin"/><Relationship Id="rId1" Type="http://schemas.openxmlformats.org/officeDocument/2006/relationships/printerSettings" Target="../printerSettings/printerSettings17.bin"/><Relationship Id="rId4" Type="http://schemas.openxmlformats.org/officeDocument/2006/relationships/drawing" Target="../drawings/drawing12.xml"/></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36.bin"/><Relationship Id="rId2" Type="http://schemas.openxmlformats.org/officeDocument/2006/relationships/customProperty" Target="../customProperty35.bin"/><Relationship Id="rId1" Type="http://schemas.openxmlformats.org/officeDocument/2006/relationships/printerSettings" Target="../printerSettings/printerSettings18.bin"/><Relationship Id="rId4" Type="http://schemas.openxmlformats.org/officeDocument/2006/relationships/drawing" Target="../drawings/drawing13.xml"/></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38.bin"/><Relationship Id="rId2" Type="http://schemas.openxmlformats.org/officeDocument/2006/relationships/customProperty" Target="../customProperty37.bin"/><Relationship Id="rId1" Type="http://schemas.openxmlformats.org/officeDocument/2006/relationships/printerSettings" Target="../printerSettings/printerSettings19.bin"/><Relationship Id="rId4"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ustomProperty" Target="../customProperty40.bin"/><Relationship Id="rId2" Type="http://schemas.openxmlformats.org/officeDocument/2006/relationships/customProperty" Target="../customProperty39.bin"/><Relationship Id="rId1" Type="http://schemas.openxmlformats.org/officeDocument/2006/relationships/printerSettings" Target="../printerSettings/printerSettings20.bin"/><Relationship Id="rId4" Type="http://schemas.openxmlformats.org/officeDocument/2006/relationships/drawing" Target="../drawings/drawing15.xml"/></Relationships>
</file>

<file path=xl/worksheets/_rels/sheet21.xml.rels><?xml version="1.0" encoding="UTF-8" standalone="yes"?>
<Relationships xmlns="http://schemas.openxmlformats.org/package/2006/relationships"><Relationship Id="rId3" Type="http://schemas.openxmlformats.org/officeDocument/2006/relationships/customProperty" Target="../customProperty42.bin"/><Relationship Id="rId2" Type="http://schemas.openxmlformats.org/officeDocument/2006/relationships/customProperty" Target="../customProperty41.bin"/><Relationship Id="rId1" Type="http://schemas.openxmlformats.org/officeDocument/2006/relationships/printerSettings" Target="../printerSettings/printerSettings21.bin"/><Relationship Id="rId4" Type="http://schemas.openxmlformats.org/officeDocument/2006/relationships/drawing" Target="../drawings/drawing16.xml"/></Relationships>
</file>

<file path=xl/worksheets/_rels/sheet22.xml.rels><?xml version="1.0" encoding="UTF-8" standalone="yes"?>
<Relationships xmlns="http://schemas.openxmlformats.org/package/2006/relationships"><Relationship Id="rId3" Type="http://schemas.openxmlformats.org/officeDocument/2006/relationships/customProperty" Target="../customProperty44.bin"/><Relationship Id="rId2" Type="http://schemas.openxmlformats.org/officeDocument/2006/relationships/customProperty" Target="../customProperty43.bin"/><Relationship Id="rId1" Type="http://schemas.openxmlformats.org/officeDocument/2006/relationships/printerSettings" Target="../printerSettings/printerSettings22.bin"/><Relationship Id="rId4" Type="http://schemas.openxmlformats.org/officeDocument/2006/relationships/drawing" Target="../drawings/drawing17.xml"/></Relationships>
</file>

<file path=xl/worksheets/_rels/sheet23.xml.rels><?xml version="1.0" encoding="UTF-8" standalone="yes"?>
<Relationships xmlns="http://schemas.openxmlformats.org/package/2006/relationships"><Relationship Id="rId3" Type="http://schemas.openxmlformats.org/officeDocument/2006/relationships/customProperty" Target="../customProperty46.bin"/><Relationship Id="rId2" Type="http://schemas.openxmlformats.org/officeDocument/2006/relationships/customProperty" Target="../customProperty45.bin"/><Relationship Id="rId1" Type="http://schemas.openxmlformats.org/officeDocument/2006/relationships/printerSettings" Target="../printerSettings/printerSettings23.bin"/><Relationship Id="rId4" Type="http://schemas.openxmlformats.org/officeDocument/2006/relationships/drawing" Target="../drawings/drawing18.xml"/></Relationships>
</file>

<file path=xl/worksheets/_rels/sheet24.xml.rels><?xml version="1.0" encoding="UTF-8" standalone="yes"?>
<Relationships xmlns="http://schemas.openxmlformats.org/package/2006/relationships"><Relationship Id="rId3" Type="http://schemas.openxmlformats.org/officeDocument/2006/relationships/customProperty" Target="../customProperty48.bin"/><Relationship Id="rId2" Type="http://schemas.openxmlformats.org/officeDocument/2006/relationships/customProperty" Target="../customProperty47.bin"/><Relationship Id="rId1" Type="http://schemas.openxmlformats.org/officeDocument/2006/relationships/printerSettings" Target="../printerSettings/printerSettings24.bin"/><Relationship Id="rId4" Type="http://schemas.openxmlformats.org/officeDocument/2006/relationships/drawing" Target="../drawings/drawing19.xml"/></Relationships>
</file>

<file path=xl/worksheets/_rels/sheet25.xml.rels><?xml version="1.0" encoding="UTF-8" standalone="yes"?>
<Relationships xmlns="http://schemas.openxmlformats.org/package/2006/relationships"><Relationship Id="rId3" Type="http://schemas.openxmlformats.org/officeDocument/2006/relationships/customProperty" Target="../customProperty50.bin"/><Relationship Id="rId2" Type="http://schemas.openxmlformats.org/officeDocument/2006/relationships/customProperty" Target="../customProperty49.bin"/><Relationship Id="rId1" Type="http://schemas.openxmlformats.org/officeDocument/2006/relationships/printerSettings" Target="../printerSettings/printerSettings25.bin"/><Relationship Id="rId4" Type="http://schemas.openxmlformats.org/officeDocument/2006/relationships/drawing" Target="../drawings/drawing20.xml"/></Relationships>
</file>

<file path=xl/worksheets/_rels/sheet26.xml.rels><?xml version="1.0" encoding="UTF-8" standalone="yes"?>
<Relationships xmlns="http://schemas.openxmlformats.org/package/2006/relationships"><Relationship Id="rId3" Type="http://schemas.openxmlformats.org/officeDocument/2006/relationships/customProperty" Target="../customProperty52.bin"/><Relationship Id="rId2" Type="http://schemas.openxmlformats.org/officeDocument/2006/relationships/customProperty" Target="../customProperty51.bin"/><Relationship Id="rId1" Type="http://schemas.openxmlformats.org/officeDocument/2006/relationships/printerSettings" Target="../printerSettings/printerSettings26.bin"/><Relationship Id="rId4" Type="http://schemas.openxmlformats.org/officeDocument/2006/relationships/drawing" Target="../drawings/drawing21.xml"/></Relationships>
</file>

<file path=xl/worksheets/_rels/sheet27.xml.rels><?xml version="1.0" encoding="UTF-8" standalone="yes"?>
<Relationships xmlns="http://schemas.openxmlformats.org/package/2006/relationships"><Relationship Id="rId3" Type="http://schemas.openxmlformats.org/officeDocument/2006/relationships/customProperty" Target="../customProperty54.bin"/><Relationship Id="rId2" Type="http://schemas.openxmlformats.org/officeDocument/2006/relationships/customProperty" Target="../customProperty53.bin"/><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8.bin"/><Relationship Id="rId4"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9.bin"/><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59999389629810485"/>
  </sheetPr>
  <dimension ref="B1:I68"/>
  <sheetViews>
    <sheetView showGridLines="0" zoomScale="80" zoomScaleNormal="80" workbookViewId="0">
      <selection activeCell="B2" sqref="B2:E2"/>
    </sheetView>
  </sheetViews>
  <sheetFormatPr defaultColWidth="9.140625" defaultRowHeight="15" x14ac:dyDescent="0.25"/>
  <cols>
    <col min="1" max="1" width="22.7109375" style="1259" customWidth="1"/>
    <col min="2" max="2" width="52" style="1259" customWidth="1"/>
    <col min="3" max="10" width="20.7109375" style="1259" customWidth="1"/>
    <col min="11" max="16384" width="9.140625" style="1259"/>
  </cols>
  <sheetData>
    <row r="1" spans="2:9" ht="30" customHeight="1" x14ac:dyDescent="0.25">
      <c r="B1" s="1180" t="s">
        <v>642</v>
      </c>
      <c r="C1" s="76"/>
      <c r="D1" s="76"/>
      <c r="E1" s="76"/>
      <c r="F1" s="76"/>
      <c r="G1" s="76"/>
      <c r="H1" s="76"/>
      <c r="I1" s="76"/>
    </row>
    <row r="2" spans="2:9" ht="30" customHeight="1" x14ac:dyDescent="0.25">
      <c r="B2" s="1180" t="s">
        <v>149</v>
      </c>
      <c r="C2" s="76"/>
      <c r="D2" s="76"/>
      <c r="E2" s="76"/>
      <c r="F2" s="76"/>
      <c r="G2" s="76"/>
      <c r="H2" s="76"/>
      <c r="I2" s="76"/>
    </row>
    <row r="3" spans="2:9" ht="30" customHeight="1" x14ac:dyDescent="0.25">
      <c r="B3" s="1181" t="s">
        <v>1361</v>
      </c>
      <c r="C3" s="76"/>
      <c r="D3" s="76"/>
      <c r="E3" s="76"/>
      <c r="F3" s="76"/>
      <c r="G3" s="76"/>
      <c r="H3" s="76"/>
      <c r="I3" s="76"/>
    </row>
    <row r="4" spans="2:9" ht="30" customHeight="1" x14ac:dyDescent="0.25">
      <c r="B4" s="83" t="s">
        <v>1185</v>
      </c>
      <c r="C4" s="83"/>
      <c r="D4" s="83"/>
      <c r="E4" s="83"/>
      <c r="F4" s="83"/>
      <c r="G4" s="83"/>
      <c r="H4" s="83"/>
      <c r="I4" s="83"/>
    </row>
    <row r="8" spans="2:9" ht="15.75" thickBot="1" x14ac:dyDescent="0.3"/>
    <row r="9" spans="2:9" ht="16.5" thickBot="1" x14ac:dyDescent="0.3">
      <c r="B9" s="84"/>
      <c r="C9" s="84"/>
      <c r="D9" s="84"/>
      <c r="E9" s="84"/>
      <c r="F9" s="84"/>
      <c r="G9" s="84"/>
      <c r="H9" s="84"/>
      <c r="I9" s="84"/>
    </row>
    <row r="10" spans="2:9" ht="15.75" thickBot="1" x14ac:dyDescent="0.3">
      <c r="B10" s="685"/>
      <c r="C10" s="685"/>
      <c r="D10" s="685"/>
      <c r="E10" s="685"/>
      <c r="F10" s="685"/>
      <c r="G10" s="685"/>
      <c r="H10" s="685"/>
      <c r="I10" s="685"/>
    </row>
    <row r="11" spans="2:9" x14ac:dyDescent="0.25">
      <c r="C11" s="1527" t="s">
        <v>637</v>
      </c>
      <c r="D11" s="1528"/>
      <c r="E11" s="1528"/>
      <c r="F11" s="1528"/>
      <c r="G11" s="1528"/>
      <c r="H11" s="1528"/>
      <c r="I11" s="1529"/>
    </row>
    <row r="12" spans="2:9" ht="15.75" thickBot="1" x14ac:dyDescent="0.3">
      <c r="C12" s="1530" t="s">
        <v>1362</v>
      </c>
      <c r="D12" s="1531"/>
      <c r="E12" s="1531"/>
      <c r="F12" s="1531"/>
      <c r="G12" s="1531"/>
      <c r="H12" s="1531"/>
      <c r="I12" s="1532"/>
    </row>
    <row r="13" spans="2:9" ht="15.75" thickBot="1" x14ac:dyDescent="0.3">
      <c r="C13" s="1275">
        <v>2009</v>
      </c>
      <c r="D13" s="1274">
        <v>2010</v>
      </c>
      <c r="E13" s="1273">
        <v>2011</v>
      </c>
      <c r="F13" s="1273">
        <v>2012</v>
      </c>
      <c r="G13" s="1273">
        <v>2013</v>
      </c>
      <c r="H13" s="1273">
        <v>2014</v>
      </c>
      <c r="I13" s="1272">
        <v>2015</v>
      </c>
    </row>
    <row r="14" spans="2:9" ht="15.75" thickBot="1" x14ac:dyDescent="0.3">
      <c r="B14" s="624"/>
      <c r="C14" s="625"/>
      <c r="D14" s="625"/>
      <c r="E14" s="625"/>
      <c r="F14" s="625"/>
      <c r="G14" s="625"/>
      <c r="H14" s="625"/>
      <c r="I14" s="1267"/>
    </row>
    <row r="15" spans="2:9" x14ac:dyDescent="0.25">
      <c r="B15" s="1266"/>
      <c r="C15" s="330"/>
      <c r="D15" s="330"/>
      <c r="E15" s="330"/>
      <c r="F15" s="330"/>
      <c r="G15" s="330"/>
      <c r="H15" s="330"/>
      <c r="I15" s="331"/>
    </row>
    <row r="16" spans="2:9" x14ac:dyDescent="0.25">
      <c r="B16" s="1265"/>
      <c r="C16" s="334"/>
      <c r="D16" s="334"/>
      <c r="E16" s="334"/>
      <c r="F16" s="334"/>
      <c r="G16" s="334"/>
      <c r="H16" s="334"/>
      <c r="I16" s="299"/>
    </row>
    <row r="17" spans="2:9" x14ac:dyDescent="0.25">
      <c r="B17" s="1265"/>
      <c r="C17" s="334"/>
      <c r="D17" s="334"/>
      <c r="E17" s="334"/>
      <c r="F17" s="334"/>
      <c r="G17" s="334"/>
      <c r="H17" s="334"/>
      <c r="I17" s="299"/>
    </row>
    <row r="18" spans="2:9" x14ac:dyDescent="0.25">
      <c r="B18" s="1265"/>
      <c r="C18" s="334"/>
      <c r="D18" s="334"/>
      <c r="E18" s="334"/>
      <c r="F18" s="334"/>
      <c r="G18" s="334"/>
      <c r="H18" s="334"/>
      <c r="I18" s="299"/>
    </row>
    <row r="19" spans="2:9" x14ac:dyDescent="0.25">
      <c r="B19" s="1265"/>
      <c r="C19" s="334"/>
      <c r="D19" s="334"/>
      <c r="E19" s="334"/>
      <c r="F19" s="334"/>
      <c r="G19" s="334"/>
      <c r="H19" s="334"/>
      <c r="I19" s="299"/>
    </row>
    <row r="20" spans="2:9" x14ac:dyDescent="0.25">
      <c r="B20" s="1265"/>
      <c r="C20" s="334"/>
      <c r="D20" s="334"/>
      <c r="E20" s="334"/>
      <c r="F20" s="334"/>
      <c r="G20" s="334"/>
      <c r="H20" s="334"/>
      <c r="I20" s="299"/>
    </row>
    <row r="21" spans="2:9" x14ac:dyDescent="0.25">
      <c r="B21" s="1265"/>
      <c r="C21" s="334"/>
      <c r="D21" s="334"/>
      <c r="E21" s="334"/>
      <c r="F21" s="334"/>
      <c r="G21" s="334"/>
      <c r="H21" s="334"/>
      <c r="I21" s="299"/>
    </row>
    <row r="22" spans="2:9" x14ac:dyDescent="0.25">
      <c r="B22" s="1265"/>
      <c r="C22" s="334"/>
      <c r="D22" s="334"/>
      <c r="E22" s="334"/>
      <c r="F22" s="334"/>
      <c r="G22" s="334"/>
      <c r="H22" s="334"/>
      <c r="I22" s="299"/>
    </row>
    <row r="23" spans="2:9" x14ac:dyDescent="0.25">
      <c r="B23" s="1265"/>
      <c r="C23" s="334"/>
      <c r="D23" s="334"/>
      <c r="E23" s="334"/>
      <c r="F23" s="334"/>
      <c r="G23" s="334"/>
      <c r="H23" s="334"/>
      <c r="I23" s="299"/>
    </row>
    <row r="24" spans="2:9" x14ac:dyDescent="0.25">
      <c r="B24" s="1265"/>
      <c r="C24" s="334"/>
      <c r="D24" s="334"/>
      <c r="E24" s="334"/>
      <c r="F24" s="334"/>
      <c r="G24" s="334"/>
      <c r="H24" s="334"/>
      <c r="I24" s="299"/>
    </row>
    <row r="25" spans="2:9" x14ac:dyDescent="0.25">
      <c r="B25" s="1265"/>
      <c r="C25" s="334"/>
      <c r="D25" s="334"/>
      <c r="E25" s="334"/>
      <c r="F25" s="334"/>
      <c r="G25" s="334"/>
      <c r="H25" s="334"/>
      <c r="I25" s="299"/>
    </row>
    <row r="26" spans="2:9" x14ac:dyDescent="0.25">
      <c r="B26" s="1265"/>
      <c r="C26" s="334"/>
      <c r="D26" s="334"/>
      <c r="E26" s="334"/>
      <c r="F26" s="334"/>
      <c r="G26" s="334"/>
      <c r="H26" s="334"/>
      <c r="I26" s="299"/>
    </row>
    <row r="27" spans="2:9" x14ac:dyDescent="0.25">
      <c r="B27" s="1265"/>
      <c r="C27" s="334"/>
      <c r="D27" s="334"/>
      <c r="E27" s="334"/>
      <c r="F27" s="334"/>
      <c r="G27" s="334"/>
      <c r="H27" s="334"/>
      <c r="I27" s="299"/>
    </row>
    <row r="28" spans="2:9" x14ac:dyDescent="0.25">
      <c r="B28" s="1265"/>
      <c r="C28" s="334"/>
      <c r="D28" s="334"/>
      <c r="E28" s="334"/>
      <c r="F28" s="334"/>
      <c r="G28" s="334"/>
      <c r="H28" s="334"/>
      <c r="I28" s="299"/>
    </row>
    <row r="29" spans="2:9" x14ac:dyDescent="0.25">
      <c r="B29" s="1265"/>
      <c r="C29" s="334"/>
      <c r="D29" s="334"/>
      <c r="E29" s="334"/>
      <c r="F29" s="334"/>
      <c r="G29" s="334"/>
      <c r="H29" s="334"/>
      <c r="I29" s="299"/>
    </row>
    <row r="30" spans="2:9" x14ac:dyDescent="0.25">
      <c r="B30" s="1265"/>
      <c r="C30" s="334"/>
      <c r="D30" s="334"/>
      <c r="E30" s="334"/>
      <c r="F30" s="334"/>
      <c r="G30" s="334"/>
      <c r="H30" s="334"/>
      <c r="I30" s="299"/>
    </row>
    <row r="31" spans="2:9" x14ac:dyDescent="0.25">
      <c r="B31" s="1265"/>
      <c r="C31" s="334"/>
      <c r="D31" s="334"/>
      <c r="E31" s="334"/>
      <c r="F31" s="334"/>
      <c r="G31" s="334"/>
      <c r="H31" s="334"/>
      <c r="I31" s="299"/>
    </row>
    <row r="32" spans="2:9" x14ac:dyDescent="0.25">
      <c r="B32" s="1265"/>
      <c r="C32" s="334"/>
      <c r="D32" s="334"/>
      <c r="E32" s="334"/>
      <c r="F32" s="334"/>
      <c r="G32" s="334"/>
      <c r="H32" s="334"/>
      <c r="I32" s="299"/>
    </row>
    <row r="33" spans="2:9" x14ac:dyDescent="0.25">
      <c r="B33" s="1265"/>
      <c r="C33" s="334"/>
      <c r="D33" s="334"/>
      <c r="E33" s="334"/>
      <c r="F33" s="334"/>
      <c r="G33" s="334"/>
      <c r="H33" s="334"/>
      <c r="I33" s="299"/>
    </row>
    <row r="34" spans="2:9" x14ac:dyDescent="0.25">
      <c r="B34" s="1265"/>
      <c r="C34" s="334"/>
      <c r="D34" s="334"/>
      <c r="E34" s="334"/>
      <c r="F34" s="334"/>
      <c r="G34" s="334"/>
      <c r="H34" s="334"/>
      <c r="I34" s="299"/>
    </row>
    <row r="35" spans="2:9" ht="15.75" thickBot="1" x14ac:dyDescent="0.3">
      <c r="B35" s="1264"/>
      <c r="C35" s="337"/>
      <c r="D35" s="337"/>
      <c r="E35" s="337"/>
      <c r="F35" s="337"/>
      <c r="G35" s="337"/>
      <c r="H35" s="337"/>
      <c r="I35" s="338"/>
    </row>
    <row r="36" spans="2:9" ht="15.75" thickBot="1" x14ac:dyDescent="0.3">
      <c r="B36" s="632"/>
      <c r="C36" s="633"/>
      <c r="D36" s="633"/>
      <c r="E36" s="633"/>
      <c r="F36" s="633"/>
      <c r="G36" s="633"/>
      <c r="H36" s="633"/>
      <c r="I36" s="564"/>
    </row>
    <row r="37" spans="2:9" ht="15.75" thickBot="1" x14ac:dyDescent="0.3">
      <c r="B37" s="1263"/>
      <c r="C37" s="1262"/>
      <c r="D37" s="1262"/>
      <c r="E37" s="1262"/>
      <c r="F37" s="1262"/>
      <c r="G37" s="1262"/>
      <c r="H37" s="1262"/>
      <c r="I37" s="1261"/>
    </row>
    <row r="39" spans="2:9" ht="15.75" thickBot="1" x14ac:dyDescent="0.3"/>
    <row r="40" spans="2:9" ht="16.5" thickBot="1" x14ac:dyDescent="0.3">
      <c r="B40" s="84"/>
      <c r="C40" s="84"/>
      <c r="D40" s="84"/>
      <c r="E40" s="84"/>
      <c r="F40" s="84"/>
      <c r="G40" s="84"/>
      <c r="H40" s="84"/>
      <c r="I40" s="84"/>
    </row>
    <row r="41" spans="2:9" ht="15.75" thickBot="1" x14ac:dyDescent="0.3">
      <c r="B41" s="685"/>
      <c r="C41" s="685"/>
      <c r="D41" s="685"/>
      <c r="E41" s="685"/>
      <c r="F41" s="685"/>
      <c r="G41" s="685"/>
      <c r="H41" s="685"/>
      <c r="I41" s="685"/>
    </row>
    <row r="42" spans="2:9" x14ac:dyDescent="0.25">
      <c r="C42" s="1533" t="s">
        <v>701</v>
      </c>
      <c r="D42" s="1534"/>
      <c r="E42" s="1534"/>
      <c r="F42" s="1534"/>
      <c r="G42" s="1534"/>
      <c r="H42" s="1534"/>
      <c r="I42" s="1535"/>
    </row>
    <row r="43" spans="2:9" ht="15.75" thickBot="1" x14ac:dyDescent="0.3">
      <c r="C43" s="1536" t="s">
        <v>181</v>
      </c>
      <c r="D43" s="1537"/>
      <c r="E43" s="1537"/>
      <c r="F43" s="1537"/>
      <c r="G43" s="1537"/>
      <c r="H43" s="1537"/>
      <c r="I43" s="1538"/>
    </row>
    <row r="44" spans="2:9" ht="15.75" thickBot="1" x14ac:dyDescent="0.3">
      <c r="C44" s="1271">
        <v>2009</v>
      </c>
      <c r="D44" s="1270">
        <v>2010</v>
      </c>
      <c r="E44" s="1269">
        <v>2011</v>
      </c>
      <c r="F44" s="1269">
        <v>2012</v>
      </c>
      <c r="G44" s="1269">
        <v>2013</v>
      </c>
      <c r="H44" s="1269">
        <v>2014</v>
      </c>
      <c r="I44" s="1268">
        <v>2015</v>
      </c>
    </row>
    <row r="45" spans="2:9" ht="15.75" thickBot="1" x14ac:dyDescent="0.3">
      <c r="B45" s="624"/>
      <c r="C45" s="625"/>
      <c r="D45" s="625"/>
      <c r="E45" s="625"/>
      <c r="F45" s="625"/>
      <c r="G45" s="625"/>
      <c r="H45" s="625"/>
      <c r="I45" s="1267"/>
    </row>
    <row r="46" spans="2:9" x14ac:dyDescent="0.25">
      <c r="B46" s="1266"/>
      <c r="C46" s="330"/>
      <c r="D46" s="330"/>
      <c r="E46" s="330"/>
      <c r="F46" s="330"/>
      <c r="G46" s="330"/>
      <c r="H46" s="330"/>
      <c r="I46" s="331"/>
    </row>
    <row r="47" spans="2:9" x14ac:dyDescent="0.25">
      <c r="B47" s="1265"/>
      <c r="C47" s="334"/>
      <c r="D47" s="334"/>
      <c r="E47" s="334"/>
      <c r="F47" s="334"/>
      <c r="G47" s="334"/>
      <c r="H47" s="334"/>
      <c r="I47" s="299"/>
    </row>
    <row r="48" spans="2:9" x14ac:dyDescent="0.25">
      <c r="B48" s="1265"/>
      <c r="C48" s="334"/>
      <c r="D48" s="334"/>
      <c r="E48" s="334"/>
      <c r="F48" s="334"/>
      <c r="G48" s="334"/>
      <c r="H48" s="334"/>
      <c r="I48" s="299"/>
    </row>
    <row r="49" spans="2:9" x14ac:dyDescent="0.25">
      <c r="B49" s="1265"/>
      <c r="C49" s="334"/>
      <c r="D49" s="334"/>
      <c r="E49" s="334"/>
      <c r="F49" s="334"/>
      <c r="G49" s="334"/>
      <c r="H49" s="334"/>
      <c r="I49" s="299"/>
    </row>
    <row r="50" spans="2:9" x14ac:dyDescent="0.25">
      <c r="B50" s="1265"/>
      <c r="C50" s="334"/>
      <c r="D50" s="334"/>
      <c r="E50" s="334"/>
      <c r="F50" s="334"/>
      <c r="G50" s="334"/>
      <c r="H50" s="334"/>
      <c r="I50" s="299"/>
    </row>
    <row r="51" spans="2:9" x14ac:dyDescent="0.25">
      <c r="B51" s="1265"/>
      <c r="C51" s="334"/>
      <c r="D51" s="334"/>
      <c r="E51" s="334"/>
      <c r="F51" s="334"/>
      <c r="G51" s="334"/>
      <c r="H51" s="334"/>
      <c r="I51" s="299"/>
    </row>
    <row r="52" spans="2:9" x14ac:dyDescent="0.25">
      <c r="B52" s="1265"/>
      <c r="C52" s="334"/>
      <c r="D52" s="334"/>
      <c r="E52" s="334"/>
      <c r="F52" s="334"/>
      <c r="G52" s="334"/>
      <c r="H52" s="334"/>
      <c r="I52" s="299"/>
    </row>
    <row r="53" spans="2:9" x14ac:dyDescent="0.25">
      <c r="B53" s="1265"/>
      <c r="C53" s="334"/>
      <c r="D53" s="334"/>
      <c r="E53" s="334"/>
      <c r="F53" s="334"/>
      <c r="G53" s="334"/>
      <c r="H53" s="334"/>
      <c r="I53" s="299"/>
    </row>
    <row r="54" spans="2:9" x14ac:dyDescent="0.25">
      <c r="B54" s="1265"/>
      <c r="C54" s="334"/>
      <c r="D54" s="334"/>
      <c r="E54" s="334"/>
      <c r="F54" s="334"/>
      <c r="G54" s="334"/>
      <c r="H54" s="334"/>
      <c r="I54" s="299"/>
    </row>
    <row r="55" spans="2:9" x14ac:dyDescent="0.25">
      <c r="B55" s="1265"/>
      <c r="C55" s="334"/>
      <c r="D55" s="334"/>
      <c r="E55" s="334"/>
      <c r="F55" s="334"/>
      <c r="G55" s="334"/>
      <c r="H55" s="334"/>
      <c r="I55" s="299"/>
    </row>
    <row r="56" spans="2:9" x14ac:dyDescent="0.25">
      <c r="B56" s="1265"/>
      <c r="C56" s="334"/>
      <c r="D56" s="334"/>
      <c r="E56" s="334"/>
      <c r="F56" s="334"/>
      <c r="G56" s="334"/>
      <c r="H56" s="334"/>
      <c r="I56" s="299"/>
    </row>
    <row r="57" spans="2:9" x14ac:dyDescent="0.25">
      <c r="B57" s="1265"/>
      <c r="C57" s="334"/>
      <c r="D57" s="334"/>
      <c r="E57" s="334"/>
      <c r="F57" s="334"/>
      <c r="G57" s="334"/>
      <c r="H57" s="334"/>
      <c r="I57" s="299"/>
    </row>
    <row r="58" spans="2:9" x14ac:dyDescent="0.25">
      <c r="B58" s="1265"/>
      <c r="C58" s="334"/>
      <c r="D58" s="334"/>
      <c r="E58" s="334"/>
      <c r="F58" s="334"/>
      <c r="G58" s="334"/>
      <c r="H58" s="334"/>
      <c r="I58" s="299"/>
    </row>
    <row r="59" spans="2:9" x14ac:dyDescent="0.25">
      <c r="B59" s="1265"/>
      <c r="C59" s="334"/>
      <c r="D59" s="334"/>
      <c r="E59" s="334"/>
      <c r="F59" s="334"/>
      <c r="G59" s="334"/>
      <c r="H59" s="334"/>
      <c r="I59" s="299"/>
    </row>
    <row r="60" spans="2:9" x14ac:dyDescent="0.25">
      <c r="B60" s="1265"/>
      <c r="C60" s="334"/>
      <c r="D60" s="334"/>
      <c r="E60" s="334"/>
      <c r="F60" s="334"/>
      <c r="G60" s="334"/>
      <c r="H60" s="334"/>
      <c r="I60" s="299"/>
    </row>
    <row r="61" spans="2:9" x14ac:dyDescent="0.25">
      <c r="B61" s="1265"/>
      <c r="C61" s="334"/>
      <c r="D61" s="334"/>
      <c r="E61" s="334"/>
      <c r="F61" s="334"/>
      <c r="G61" s="334"/>
      <c r="H61" s="334"/>
      <c r="I61" s="299"/>
    </row>
    <row r="62" spans="2:9" x14ac:dyDescent="0.25">
      <c r="B62" s="1265"/>
      <c r="C62" s="334"/>
      <c r="D62" s="334"/>
      <c r="E62" s="334"/>
      <c r="F62" s="334"/>
      <c r="G62" s="334"/>
      <c r="H62" s="334"/>
      <c r="I62" s="299"/>
    </row>
    <row r="63" spans="2:9" x14ac:dyDescent="0.25">
      <c r="B63" s="1265"/>
      <c r="C63" s="334"/>
      <c r="D63" s="334"/>
      <c r="E63" s="334"/>
      <c r="F63" s="334"/>
      <c r="G63" s="334"/>
      <c r="H63" s="334"/>
      <c r="I63" s="299"/>
    </row>
    <row r="64" spans="2:9" x14ac:dyDescent="0.25">
      <c r="B64" s="1265"/>
      <c r="C64" s="334"/>
      <c r="D64" s="334"/>
      <c r="E64" s="334"/>
      <c r="F64" s="334"/>
      <c r="G64" s="334"/>
      <c r="H64" s="334"/>
      <c r="I64" s="299"/>
    </row>
    <row r="65" spans="2:9" x14ac:dyDescent="0.25">
      <c r="B65" s="1265"/>
      <c r="C65" s="334"/>
      <c r="D65" s="334"/>
      <c r="E65" s="334"/>
      <c r="F65" s="334"/>
      <c r="G65" s="334"/>
      <c r="H65" s="334"/>
      <c r="I65" s="299"/>
    </row>
    <row r="66" spans="2:9" ht="15.75" thickBot="1" x14ac:dyDescent="0.3">
      <c r="B66" s="1264"/>
      <c r="C66" s="337"/>
      <c r="D66" s="337"/>
      <c r="E66" s="337"/>
      <c r="F66" s="337"/>
      <c r="G66" s="337"/>
      <c r="H66" s="337"/>
      <c r="I66" s="338"/>
    </row>
    <row r="67" spans="2:9" ht="15.75" thickBot="1" x14ac:dyDescent="0.3">
      <c r="B67" s="632"/>
      <c r="C67" s="633"/>
      <c r="D67" s="633"/>
      <c r="E67" s="633"/>
      <c r="F67" s="633"/>
      <c r="G67" s="633"/>
      <c r="H67" s="633"/>
      <c r="I67" s="564"/>
    </row>
    <row r="68" spans="2:9" ht="15.75" thickBot="1" x14ac:dyDescent="0.3">
      <c r="B68" s="1263"/>
      <c r="C68" s="1262"/>
      <c r="D68" s="1262"/>
      <c r="E68" s="1262"/>
      <c r="F68" s="1262"/>
      <c r="G68" s="1262"/>
      <c r="H68" s="1262"/>
      <c r="I68" s="1261"/>
    </row>
  </sheetData>
  <mergeCells count="4">
    <mergeCell ref="C11:I11"/>
    <mergeCell ref="C12:I12"/>
    <mergeCell ref="C42:I42"/>
    <mergeCell ref="C43:I43"/>
  </mergeCells>
  <dataValidations count="1">
    <dataValidation allowBlank="1" showInputMessage="1" showErrorMessage="1" sqref="C42:I44 C11:I13"/>
  </dataValidations>
  <pageMargins left="0.7" right="0.7" top="0.75" bottom="0.75" header="0.3" footer="0.3"/>
  <pageSetup paperSize="9" orientation="portrait" r:id="rId1"/>
  <customProperties>
    <customPr name="_pios_id" r:id="rId2"/>
    <customPr name="EpmWorksheetKeyString_GU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3" tint="-0.249977111117893"/>
  </sheetPr>
  <dimension ref="B1:K27"/>
  <sheetViews>
    <sheetView showGridLines="0" zoomScale="75" zoomScaleNormal="75" workbookViewId="0">
      <selection activeCell="A2" sqref="A2"/>
    </sheetView>
  </sheetViews>
  <sheetFormatPr defaultColWidth="9.140625" defaultRowHeight="15" x14ac:dyDescent="0.25"/>
  <cols>
    <col min="1" max="1" width="22.7109375" style="401" customWidth="1"/>
    <col min="2" max="2" width="52" style="401" customWidth="1"/>
    <col min="3" max="8" width="20.7109375" style="401" customWidth="1"/>
    <col min="9" max="9" width="20.7109375" style="1294" customWidth="1"/>
    <col min="10" max="11" width="20.7109375" style="401" customWidth="1"/>
    <col min="12" max="16384" width="9.140625" style="401"/>
  </cols>
  <sheetData>
    <row r="1" spans="2:11" ht="30" customHeight="1" x14ac:dyDescent="0.25">
      <c r="B1" s="103" t="str">
        <f>IF(dms_MultiYear_ResponseFlag="Yes","REGULATORY REPORTING STATEMENT - HISTORICAL INFORMATION",INDEX(dms_Worksheet_List,MATCH(dms_Model,dms_Model_List)))</f>
        <v>REGULATORY REPORTING STATEMENT - HISTORICAL INFORMATION</v>
      </c>
      <c r="C1" s="76"/>
      <c r="D1" s="76"/>
      <c r="E1" s="76"/>
      <c r="F1" s="76"/>
      <c r="G1" s="76"/>
      <c r="H1" s="76"/>
      <c r="I1" s="76"/>
      <c r="J1" s="76"/>
      <c r="K1" s="76"/>
    </row>
    <row r="2" spans="2:11" ht="30" customHeight="1" x14ac:dyDescent="0.25">
      <c r="B2" s="103" t="str">
        <f>INDEX(dms_TradingNameFull_List,MATCH(dms_TradingName,dms_TradingName_List))</f>
        <v>AusNet Gas Services</v>
      </c>
      <c r="C2" s="76"/>
      <c r="D2" s="76"/>
      <c r="E2" s="76"/>
      <c r="F2" s="76"/>
      <c r="G2" s="76"/>
      <c r="H2" s="76"/>
      <c r="I2" s="76"/>
      <c r="J2" s="76"/>
      <c r="K2" s="76"/>
    </row>
    <row r="3" spans="2:11" ht="30" customHeight="1" x14ac:dyDescent="0.25">
      <c r="B3" s="103" t="str">
        <f>CONCATENATE(CRY," to ",dms_MultiYear_FinalYear_Result)</f>
        <v>2011 to 2019</v>
      </c>
      <c r="C3" s="76"/>
      <c r="D3" s="76"/>
      <c r="E3" s="76"/>
      <c r="F3" s="76"/>
      <c r="G3" s="76"/>
      <c r="H3" s="76"/>
      <c r="I3" s="76"/>
      <c r="J3" s="76"/>
      <c r="K3" s="76"/>
    </row>
    <row r="4" spans="2:11" ht="30" customHeight="1" x14ac:dyDescent="0.25">
      <c r="B4" s="83" t="s">
        <v>708</v>
      </c>
      <c r="C4" s="323"/>
      <c r="D4" s="323"/>
      <c r="E4" s="323"/>
      <c r="F4" s="323"/>
      <c r="G4" s="323"/>
      <c r="H4" s="323"/>
      <c r="I4" s="323"/>
      <c r="J4" s="323"/>
      <c r="K4" s="323"/>
    </row>
    <row r="6" spans="2:11" x14ac:dyDescent="0.25">
      <c r="B6" s="401" t="s">
        <v>782</v>
      </c>
      <c r="C6" s="521"/>
    </row>
    <row r="7" spans="2:11" s="521" customFormat="1" ht="15.75" thickBot="1" x14ac:dyDescent="0.3">
      <c r="I7" s="1294"/>
    </row>
    <row r="8" spans="2:11" ht="21" customHeight="1" thickBot="1" x14ac:dyDescent="0.3">
      <c r="B8" s="84" t="s">
        <v>803</v>
      </c>
      <c r="C8" s="84"/>
      <c r="D8" s="84"/>
      <c r="E8" s="84"/>
      <c r="F8" s="84"/>
      <c r="G8" s="84"/>
      <c r="H8" s="84"/>
      <c r="I8" s="84"/>
      <c r="J8" s="84"/>
      <c r="K8" s="84"/>
    </row>
    <row r="9" spans="2:11" x14ac:dyDescent="0.25">
      <c r="C9" s="1663" t="s">
        <v>637</v>
      </c>
      <c r="D9" s="1664"/>
      <c r="E9" s="1664"/>
      <c r="F9" s="1664"/>
      <c r="G9" s="1664"/>
      <c r="H9" s="1664"/>
      <c r="I9" s="1664"/>
      <c r="J9" s="1664"/>
      <c r="K9" s="1665"/>
    </row>
    <row r="10" spans="2:11" x14ac:dyDescent="0.25">
      <c r="C10" s="1666" t="s">
        <v>638</v>
      </c>
      <c r="D10" s="1667"/>
      <c r="E10" s="1667"/>
      <c r="F10" s="1667"/>
      <c r="G10" s="1667"/>
      <c r="H10" s="1667"/>
      <c r="I10" s="1667"/>
      <c r="J10" s="1667"/>
      <c r="K10" s="1668"/>
    </row>
    <row r="11" spans="2:11" ht="15.75" thickBot="1" x14ac:dyDescent="0.3">
      <c r="B11" s="452"/>
      <c r="C11" s="444">
        <f ca="1">dms_y1</f>
        <v>2011</v>
      </c>
      <c r="D11" s="445">
        <f ca="1">dms_y2</f>
        <v>2012</v>
      </c>
      <c r="E11" s="445">
        <f ca="1">dms_y3</f>
        <v>2013</v>
      </c>
      <c r="F11" s="445">
        <f ca="1">dms_y4</f>
        <v>2014</v>
      </c>
      <c r="G11" s="445">
        <f ca="1">dms_y5</f>
        <v>2015</v>
      </c>
      <c r="H11" s="1318">
        <f ca="1">dms_y6</f>
        <v>2016</v>
      </c>
      <c r="I11" s="1318">
        <f ca="1">dms_y7</f>
        <v>2017</v>
      </c>
      <c r="J11" s="1318">
        <f ca="1">dms_y8</f>
        <v>2018</v>
      </c>
      <c r="K11" s="1318">
        <f ca="1">dms_y9</f>
        <v>2019</v>
      </c>
    </row>
    <row r="12" spans="2:11" ht="15.75" thickBot="1" x14ac:dyDescent="0.3">
      <c r="B12" s="311" t="s">
        <v>804</v>
      </c>
      <c r="C12" s="312"/>
      <c r="D12" s="312"/>
      <c r="E12" s="312"/>
      <c r="F12" s="312"/>
      <c r="G12" s="312"/>
      <c r="H12" s="312"/>
      <c r="I12" s="312"/>
      <c r="J12" s="312"/>
      <c r="K12" s="313"/>
    </row>
    <row r="13" spans="2:11" x14ac:dyDescent="0.25">
      <c r="B13" s="588" t="s">
        <v>705</v>
      </c>
      <c r="C13" s="330">
        <v>33609018.894015931</v>
      </c>
      <c r="D13" s="330">
        <v>35212250</v>
      </c>
      <c r="E13" s="330">
        <v>15620660</v>
      </c>
      <c r="F13" s="330">
        <v>12265975</v>
      </c>
      <c r="G13" s="1298">
        <v>16860165</v>
      </c>
      <c r="H13" s="348">
        <v>22514572</v>
      </c>
      <c r="I13" s="330">
        <v>19966633</v>
      </c>
      <c r="J13" s="330">
        <v>16514090</v>
      </c>
      <c r="K13" s="331">
        <v>15793064</v>
      </c>
    </row>
    <row r="14" spans="2:11" x14ac:dyDescent="0.25">
      <c r="B14" s="588" t="s">
        <v>706</v>
      </c>
      <c r="C14" s="334">
        <v>0</v>
      </c>
      <c r="D14" s="334">
        <v>0</v>
      </c>
      <c r="E14" s="334">
        <v>0</v>
      </c>
      <c r="F14" s="334">
        <v>0</v>
      </c>
      <c r="G14" s="350">
        <v>0</v>
      </c>
      <c r="H14" s="349">
        <v>0</v>
      </c>
      <c r="I14" s="334">
        <v>0</v>
      </c>
      <c r="J14" s="334">
        <v>0</v>
      </c>
      <c r="K14" s="299">
        <v>0</v>
      </c>
    </row>
    <row r="15" spans="2:11" x14ac:dyDescent="0.25">
      <c r="B15" s="588" t="s">
        <v>707</v>
      </c>
      <c r="C15" s="334">
        <v>0</v>
      </c>
      <c r="D15" s="334">
        <v>0</v>
      </c>
      <c r="E15" s="334">
        <v>0</v>
      </c>
      <c r="F15" s="334">
        <v>0</v>
      </c>
      <c r="G15" s="350">
        <v>0</v>
      </c>
      <c r="H15" s="349">
        <v>0</v>
      </c>
      <c r="I15" s="334">
        <v>0</v>
      </c>
      <c r="J15" s="334">
        <v>0</v>
      </c>
      <c r="K15" s="299">
        <v>0</v>
      </c>
    </row>
    <row r="16" spans="2:11" x14ac:dyDescent="0.25">
      <c r="B16" s="588" t="s">
        <v>1226</v>
      </c>
      <c r="C16" s="1396">
        <v>9601343.4447730333</v>
      </c>
      <c r="D16" s="1396">
        <v>17012282</v>
      </c>
      <c r="E16" s="334">
        <v>38938721</v>
      </c>
      <c r="F16" s="334">
        <v>37799686</v>
      </c>
      <c r="G16" s="350">
        <v>34742995</v>
      </c>
      <c r="H16" s="349">
        <v>28528396</v>
      </c>
      <c r="I16" s="1396">
        <v>36598141</v>
      </c>
      <c r="J16" s="1396">
        <v>39947113</v>
      </c>
      <c r="K16" s="299">
        <v>41250113</v>
      </c>
    </row>
    <row r="17" spans="2:11" ht="15.75" thickBot="1" x14ac:dyDescent="0.3">
      <c r="B17" s="632" t="s">
        <v>640</v>
      </c>
      <c r="C17" s="633">
        <f t="shared" ref="C17:I17" si="0">SUM(C13:C16)</f>
        <v>43210362.338788964</v>
      </c>
      <c r="D17" s="633">
        <f t="shared" si="0"/>
        <v>52224532</v>
      </c>
      <c r="E17" s="633">
        <f t="shared" si="0"/>
        <v>54559381</v>
      </c>
      <c r="F17" s="633">
        <f t="shared" si="0"/>
        <v>50065661</v>
      </c>
      <c r="G17" s="633">
        <f t="shared" si="0"/>
        <v>51603160</v>
      </c>
      <c r="H17" s="633">
        <f t="shared" si="0"/>
        <v>51042968</v>
      </c>
      <c r="I17" s="633">
        <f t="shared" si="0"/>
        <v>56564774</v>
      </c>
      <c r="J17" s="633">
        <f>SUM(J13:J16)</f>
        <v>56461203</v>
      </c>
      <c r="K17" s="564">
        <f>SUM(K13:K16)</f>
        <v>57043177</v>
      </c>
    </row>
    <row r="18" spans="2:11" ht="15.75" thickBot="1" x14ac:dyDescent="0.3">
      <c r="B18" s="311" t="s">
        <v>805</v>
      </c>
      <c r="C18" s="312"/>
      <c r="D18" s="312"/>
      <c r="E18" s="312"/>
      <c r="F18" s="312"/>
      <c r="G18" s="312"/>
      <c r="H18" s="312"/>
      <c r="I18" s="312"/>
      <c r="J18" s="312"/>
      <c r="K18" s="313"/>
    </row>
    <row r="19" spans="2:11" x14ac:dyDescent="0.25">
      <c r="B19" s="588" t="s">
        <v>705</v>
      </c>
      <c r="C19" s="330">
        <v>61741371</v>
      </c>
      <c r="D19" s="330">
        <v>33167208</v>
      </c>
      <c r="E19" s="330">
        <v>1979924</v>
      </c>
      <c r="F19" s="330">
        <v>2248371</v>
      </c>
      <c r="G19" s="1298">
        <v>2787672</v>
      </c>
      <c r="H19" s="348">
        <v>3040706</v>
      </c>
      <c r="I19" s="330">
        <v>2682413</v>
      </c>
      <c r="J19" s="330">
        <v>5497569</v>
      </c>
      <c r="K19" s="331">
        <v>6662986</v>
      </c>
    </row>
    <row r="20" spans="2:11" x14ac:dyDescent="0.25">
      <c r="B20" s="588" t="s">
        <v>706</v>
      </c>
      <c r="C20" s="334">
        <v>0</v>
      </c>
      <c r="D20" s="334">
        <v>0</v>
      </c>
      <c r="E20" s="334">
        <v>0</v>
      </c>
      <c r="F20" s="334">
        <v>0</v>
      </c>
      <c r="G20" s="350">
        <v>0</v>
      </c>
      <c r="H20" s="349">
        <v>0</v>
      </c>
      <c r="I20" s="334">
        <v>0</v>
      </c>
      <c r="J20" s="334">
        <v>0</v>
      </c>
      <c r="K20" s="299">
        <v>0</v>
      </c>
    </row>
    <row r="21" spans="2:11" x14ac:dyDescent="0.25">
      <c r="B21" s="588" t="s">
        <v>707</v>
      </c>
      <c r="C21" s="334">
        <v>0</v>
      </c>
      <c r="D21" s="334">
        <v>0</v>
      </c>
      <c r="E21" s="334">
        <v>0</v>
      </c>
      <c r="F21" s="334">
        <v>0</v>
      </c>
      <c r="G21" s="350">
        <v>0</v>
      </c>
      <c r="H21" s="349">
        <v>0</v>
      </c>
      <c r="I21" s="334">
        <v>0</v>
      </c>
      <c r="J21" s="334">
        <v>0</v>
      </c>
      <c r="K21" s="299">
        <v>0</v>
      </c>
    </row>
    <row r="22" spans="2:11" x14ac:dyDescent="0.25">
      <c r="B22" s="588" t="s">
        <v>1226</v>
      </c>
      <c r="C22" s="334">
        <v>17638126</v>
      </c>
      <c r="D22" s="334">
        <v>56175148</v>
      </c>
      <c r="E22" s="334">
        <v>82110228</v>
      </c>
      <c r="F22" s="334">
        <v>88819644</v>
      </c>
      <c r="G22" s="350">
        <v>86809672</v>
      </c>
      <c r="H22" s="349">
        <v>79084194</v>
      </c>
      <c r="I22" s="334">
        <v>80559215</v>
      </c>
      <c r="J22" s="334">
        <v>88529089</v>
      </c>
      <c r="K22" s="299">
        <v>96769041</v>
      </c>
    </row>
    <row r="23" spans="2:11" ht="15.75" thickBot="1" x14ac:dyDescent="0.3">
      <c r="B23" s="632" t="s">
        <v>640</v>
      </c>
      <c r="C23" s="633">
        <f t="shared" ref="C23:I23" si="1">SUM(C19:C22)</f>
        <v>79379497</v>
      </c>
      <c r="D23" s="633">
        <f t="shared" si="1"/>
        <v>89342356</v>
      </c>
      <c r="E23" s="633">
        <f t="shared" si="1"/>
        <v>84090152</v>
      </c>
      <c r="F23" s="633">
        <f t="shared" si="1"/>
        <v>91068015</v>
      </c>
      <c r="G23" s="633">
        <f t="shared" si="1"/>
        <v>89597344</v>
      </c>
      <c r="H23" s="633">
        <f t="shared" si="1"/>
        <v>82124900</v>
      </c>
      <c r="I23" s="633">
        <f t="shared" si="1"/>
        <v>83241628</v>
      </c>
      <c r="J23" s="633">
        <f>SUM(J19:J22)</f>
        <v>94026658</v>
      </c>
      <c r="K23" s="564">
        <f>SUM(K19:K22)</f>
        <v>103432027</v>
      </c>
    </row>
    <row r="26" spans="2:11" x14ac:dyDescent="0.25">
      <c r="B26" s="1364" t="s">
        <v>1291</v>
      </c>
      <c r="C26" s="994">
        <f>IF(SUM(C13:C16)=SUM('E1. Expenditure Summary'!C68,'E1. Expenditure Summary'!C96),0,10)</f>
        <v>0</v>
      </c>
      <c r="D26" s="994">
        <f>IF(SUM(D13:D16)=SUM('E1. Expenditure Summary'!D68,'E1. Expenditure Summary'!D96),0,10)</f>
        <v>0</v>
      </c>
      <c r="E26" s="994">
        <f>IF(SUM(E13:E16)=SUM('E1. Expenditure Summary'!E68,'E1. Expenditure Summary'!E96),0,10)</f>
        <v>10</v>
      </c>
      <c r="F26" s="994">
        <f>IF(SUM(F13:F16)=SUM('E1. Expenditure Summary'!F68,'E1. Expenditure Summary'!F96),0,10)</f>
        <v>10</v>
      </c>
      <c r="G26" s="994">
        <f>IF(SUM(G13:G16)=SUM('E1. Expenditure Summary'!G68,'E1. Expenditure Summary'!G96),0,10)</f>
        <v>10</v>
      </c>
      <c r="H26" s="994">
        <f>IF(SUM(H13:H16)=SUM('E1. Expenditure Summary'!H68,'E1. Expenditure Summary'!H96),0,10)</f>
        <v>0</v>
      </c>
      <c r="I26" s="994">
        <f>IF(SUM(I13:I16)=SUM('E1. Expenditure Summary'!I68,'E1. Expenditure Summary'!I96),0,10)</f>
        <v>10</v>
      </c>
      <c r="J26" s="994">
        <f>IF(SUM(J13:J16)=SUM('E1. Expenditure Summary'!J68,'E1. Expenditure Summary'!J96),0,10)</f>
        <v>0</v>
      </c>
      <c r="K26" s="994">
        <f>IF(SUM(K13:K16)=SUM('E1. Expenditure Summary'!K68,'E1. Expenditure Summary'!K96),0,10)</f>
        <v>10</v>
      </c>
    </row>
    <row r="27" spans="2:11" x14ac:dyDescent="0.25">
      <c r="B27" s="1364" t="s">
        <v>1292</v>
      </c>
      <c r="C27" s="994">
        <f>IF(SUM(C19:C22)=SUM('E1. Expenditure Summary'!C22,'E1. Expenditure Summary'!C51),0,10)</f>
        <v>10</v>
      </c>
      <c r="D27" s="994">
        <f>IF(SUM(D19:D23)=SUM('E1. Expenditure Summary'!D22,'E1. Expenditure Summary'!D51),0,10)</f>
        <v>10</v>
      </c>
      <c r="E27" s="994">
        <f>IF(SUM(E19:E23)=SUM('E1. Expenditure Summary'!E22,'E1. Expenditure Summary'!E51),0,10)</f>
        <v>10</v>
      </c>
      <c r="F27" s="994">
        <f>IF(SUM(F19:F23)=SUM('E1. Expenditure Summary'!F22,'E1. Expenditure Summary'!F51),0,10)</f>
        <v>10</v>
      </c>
      <c r="G27" s="994">
        <f>IF(SUM(G19:G23)=SUM('E1. Expenditure Summary'!G22,'E1. Expenditure Summary'!G51),0,10)</f>
        <v>10</v>
      </c>
      <c r="H27" s="994">
        <f>IF(SUM(H19:H23)=SUM('E1. Expenditure Summary'!H22,'E1. Expenditure Summary'!H51),0,10)</f>
        <v>10</v>
      </c>
      <c r="I27" s="994">
        <f>IF(SUM(I19:I23)=SUM('E1. Expenditure Summary'!I22,'E1. Expenditure Summary'!I51),0,10)</f>
        <v>10</v>
      </c>
      <c r="J27" s="994">
        <f>IF(SUM(J19:J23)=SUM('E1. Expenditure Summary'!J22,'E1. Expenditure Summary'!J51),0,10)</f>
        <v>10</v>
      </c>
      <c r="K27" s="994">
        <f>IF(SUM(K19:K23)=SUM('E1. Expenditure Summary'!K22,'E1. Expenditure Summary'!K51),0,10)</f>
        <v>10</v>
      </c>
    </row>
  </sheetData>
  <mergeCells count="2">
    <mergeCell ref="C9:K9"/>
    <mergeCell ref="C10:K10"/>
  </mergeCells>
  <pageMargins left="0.7" right="0.7" top="0.75" bottom="0.75" header="0.3" footer="0.3"/>
  <pageSetup paperSize="9" orientation="portrait" r:id="rId1"/>
  <customProperties>
    <customPr name="_pios_id" r:id="rId2"/>
    <customPr name="EpmWorksheetKeyString_GUID" r:id="rId3"/>
  </customProperties>
  <drawing r:id="rId4"/>
  <extLst>
    <ext xmlns:x14="http://schemas.microsoft.com/office/spreadsheetml/2009/9/main" uri="{78C0D931-6437-407d-A8EE-F0AAD7539E65}">
      <x14:conditionalFormattings>
        <x14:conditionalFormatting xmlns:xm="http://schemas.microsoft.com/office/excel/2006/main">
          <x14:cfRule type="iconSet" priority="1" id="{7F5050D7-BDCD-4DDC-852C-A02600ECDA08}">
            <x14:iconSet iconSet="3Symbols" showValue="0" custom="1">
              <x14:cfvo type="percent">
                <xm:f>0</xm:f>
              </x14:cfvo>
              <x14:cfvo type="num">
                <xm:f>0</xm:f>
              </x14:cfvo>
              <x14:cfvo type="num">
                <xm:f>10</xm:f>
              </x14:cfvo>
              <x14:cfIcon iconSet="NoIcons" iconId="0"/>
              <x14:cfIcon iconSet="3Symbols2" iconId="2"/>
              <x14:cfIcon iconSet="3Symbols2" iconId="0"/>
            </x14:iconSet>
          </x14:cfRule>
          <xm:sqref>C26:K27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3" tint="-0.249977111117893"/>
  </sheetPr>
  <dimension ref="A1:L32"/>
  <sheetViews>
    <sheetView showGridLines="0" zoomScale="75" zoomScaleNormal="75" workbookViewId="0">
      <selection activeCell="A2" sqref="A2"/>
    </sheetView>
  </sheetViews>
  <sheetFormatPr defaultColWidth="9.140625" defaultRowHeight="15" outlineLevelRow="1" x14ac:dyDescent="0.25"/>
  <cols>
    <col min="1" max="1" width="22.7109375" style="401" customWidth="1"/>
    <col min="2" max="2" width="52" style="401" customWidth="1"/>
    <col min="3" max="8" width="20.7109375" style="401" customWidth="1"/>
    <col min="9" max="9" width="20.7109375" style="1294" customWidth="1"/>
    <col min="10" max="11" width="20.7109375" style="401" customWidth="1"/>
    <col min="12" max="16384" width="9.140625" style="401"/>
  </cols>
  <sheetData>
    <row r="1" spans="1:12" ht="30" customHeight="1" x14ac:dyDescent="0.25">
      <c r="B1" s="103" t="str">
        <f>IF(dms_MultiYear_ResponseFlag="Yes","REGULATORY REPORTING STATEMENT - HISTORICAL INFORMATION",INDEX(dms_Worksheet_List,MATCH(dms_Model,dms_Model_List)))</f>
        <v>REGULATORY REPORTING STATEMENT - HISTORICAL INFORMATION</v>
      </c>
      <c r="C1" s="76"/>
      <c r="D1" s="76"/>
      <c r="E1" s="76"/>
      <c r="F1" s="76"/>
      <c r="G1" s="76"/>
      <c r="H1" s="76"/>
      <c r="I1" s="76"/>
      <c r="J1" s="76"/>
      <c r="K1" s="76"/>
    </row>
    <row r="2" spans="1:12" ht="30" customHeight="1" x14ac:dyDescent="0.25">
      <c r="B2" s="103" t="str">
        <f>INDEX(dms_TradingNameFull_List,MATCH(dms_TradingName,dms_TradingName_List))</f>
        <v>AusNet Gas Services</v>
      </c>
      <c r="C2" s="76"/>
      <c r="D2" s="76"/>
      <c r="E2" s="76"/>
      <c r="F2" s="76"/>
      <c r="G2" s="76"/>
      <c r="H2" s="76"/>
      <c r="I2" s="76"/>
      <c r="J2" s="76"/>
      <c r="K2" s="76"/>
    </row>
    <row r="3" spans="1:12" ht="30" customHeight="1" x14ac:dyDescent="0.25">
      <c r="B3" s="103" t="str">
        <f>CONCATENATE(CRY," to ",dms_MultiYear_FinalYear_Result)</f>
        <v>2011 to 2019</v>
      </c>
      <c r="C3" s="76"/>
      <c r="D3" s="76"/>
      <c r="E3" s="76"/>
      <c r="F3" s="76"/>
      <c r="G3" s="76"/>
      <c r="H3" s="76"/>
      <c r="I3" s="76"/>
      <c r="J3" s="76"/>
      <c r="K3" s="76"/>
    </row>
    <row r="4" spans="1:12" ht="30" customHeight="1" x14ac:dyDescent="0.25">
      <c r="B4" s="83" t="s">
        <v>709</v>
      </c>
      <c r="C4" s="323"/>
      <c r="D4" s="323"/>
      <c r="E4" s="323"/>
      <c r="F4" s="323"/>
      <c r="G4" s="323"/>
      <c r="H4" s="323"/>
      <c r="I4" s="323"/>
      <c r="J4" s="323"/>
      <c r="K4" s="323"/>
    </row>
    <row r="5" spans="1:12" ht="15.75" thickBot="1" x14ac:dyDescent="0.3"/>
    <row r="6" spans="1:12" s="482" customFormat="1" ht="24" customHeight="1" thickBot="1" x14ac:dyDescent="0.3">
      <c r="A6" s="400"/>
      <c r="B6" s="84" t="s">
        <v>806</v>
      </c>
      <c r="C6" s="84"/>
      <c r="D6" s="84"/>
      <c r="E6" s="84"/>
      <c r="F6" s="84"/>
      <c r="G6" s="84"/>
      <c r="H6" s="84"/>
      <c r="I6" s="84"/>
      <c r="J6" s="84"/>
      <c r="K6" s="84"/>
    </row>
    <row r="7" spans="1:12" s="317" customFormat="1" ht="16.5" customHeight="1" outlineLevel="1" x14ac:dyDescent="0.25">
      <c r="A7" s="316"/>
      <c r="B7" s="476"/>
      <c r="C7" s="1669" t="s">
        <v>701</v>
      </c>
      <c r="D7" s="1670"/>
      <c r="E7" s="1670"/>
      <c r="F7" s="1670"/>
      <c r="G7" s="1670"/>
      <c r="H7" s="1670"/>
      <c r="I7" s="1670"/>
      <c r="J7" s="1670"/>
      <c r="K7" s="1671"/>
      <c r="L7" s="482"/>
    </row>
    <row r="8" spans="1:12" s="317" customFormat="1" ht="16.5" customHeight="1" outlineLevel="1" x14ac:dyDescent="0.25">
      <c r="A8" s="316"/>
      <c r="B8" s="116"/>
      <c r="C8" s="1672" t="s">
        <v>181</v>
      </c>
      <c r="D8" s="1673"/>
      <c r="E8" s="1673"/>
      <c r="F8" s="1673"/>
      <c r="G8" s="1673"/>
      <c r="H8" s="1673"/>
      <c r="I8" s="1673"/>
      <c r="J8" s="1673"/>
      <c r="K8" s="1674"/>
      <c r="L8" s="482"/>
    </row>
    <row r="9" spans="1:12" s="482" customFormat="1" ht="15.75" outlineLevel="1" thickBot="1" x14ac:dyDescent="0.3">
      <c r="A9" s="400"/>
      <c r="B9" s="1284" t="s">
        <v>639</v>
      </c>
      <c r="C9" s="424">
        <f ca="1">dms_y1</f>
        <v>2011</v>
      </c>
      <c r="D9" s="425">
        <f ca="1">dms_y2</f>
        <v>2012</v>
      </c>
      <c r="E9" s="425">
        <f ca="1">dms_y3</f>
        <v>2013</v>
      </c>
      <c r="F9" s="425">
        <f ca="1">dms_y4</f>
        <v>2014</v>
      </c>
      <c r="G9" s="425">
        <f ca="1">dms_y5</f>
        <v>2015</v>
      </c>
      <c r="H9" s="426">
        <f ca="1">dms_y6</f>
        <v>2016</v>
      </c>
      <c r="I9" s="426">
        <f ca="1">dms_y7</f>
        <v>2017</v>
      </c>
      <c r="J9" s="426">
        <f ca="1">dms_y8</f>
        <v>2018</v>
      </c>
      <c r="K9" s="427">
        <f ca="1">dms_y9</f>
        <v>2019</v>
      </c>
    </row>
    <row r="10" spans="1:12" s="482" customFormat="1" ht="17.25" customHeight="1" outlineLevel="1" x14ac:dyDescent="0.25">
      <c r="A10" s="400"/>
      <c r="B10" s="641" t="s">
        <v>1300</v>
      </c>
      <c r="C10" s="468">
        <v>6810</v>
      </c>
      <c r="D10" s="330">
        <v>7376</v>
      </c>
      <c r="E10" s="330">
        <v>6858</v>
      </c>
      <c r="F10" s="330">
        <v>5991</v>
      </c>
      <c r="G10" s="472">
        <v>5842</v>
      </c>
      <c r="H10" s="329">
        <v>4873</v>
      </c>
      <c r="I10" s="348">
        <v>4895</v>
      </c>
      <c r="J10" s="330">
        <v>4260</v>
      </c>
      <c r="K10" s="331">
        <v>2997</v>
      </c>
    </row>
    <row r="11" spans="1:12" s="482" customFormat="1" ht="17.25" customHeight="1" outlineLevel="1" x14ac:dyDescent="0.25">
      <c r="A11" s="400"/>
      <c r="B11" s="579" t="s">
        <v>1301</v>
      </c>
      <c r="C11" s="480">
        <v>10012</v>
      </c>
      <c r="D11" s="334">
        <v>10388</v>
      </c>
      <c r="E11" s="334">
        <v>11339</v>
      </c>
      <c r="F11" s="334">
        <v>11678</v>
      </c>
      <c r="G11" s="486">
        <v>13223</v>
      </c>
      <c r="H11" s="333">
        <v>11927</v>
      </c>
      <c r="I11" s="349">
        <v>13391</v>
      </c>
      <c r="J11" s="334">
        <v>12370</v>
      </c>
      <c r="K11" s="299">
        <v>8213</v>
      </c>
    </row>
    <row r="12" spans="1:12" s="482" customFormat="1" ht="17.25" customHeight="1" outlineLevel="1" x14ac:dyDescent="0.25">
      <c r="A12" s="400"/>
      <c r="B12" s="579" t="s">
        <v>1302</v>
      </c>
      <c r="C12" s="480">
        <v>46</v>
      </c>
      <c r="D12" s="334">
        <v>84</v>
      </c>
      <c r="E12" s="334">
        <v>107</v>
      </c>
      <c r="F12" s="334">
        <v>8</v>
      </c>
      <c r="G12" s="486">
        <v>0</v>
      </c>
      <c r="H12" s="333">
        <v>0</v>
      </c>
      <c r="I12" s="349">
        <v>0</v>
      </c>
      <c r="J12" s="334">
        <v>174</v>
      </c>
      <c r="K12" s="299">
        <v>181</v>
      </c>
    </row>
    <row r="13" spans="1:12" s="482" customFormat="1" ht="17.25" customHeight="1" outlineLevel="1" x14ac:dyDescent="0.25">
      <c r="A13" s="400"/>
      <c r="B13" s="579" t="s">
        <v>1303</v>
      </c>
      <c r="C13" s="480">
        <v>146503</v>
      </c>
      <c r="D13" s="334">
        <v>159465</v>
      </c>
      <c r="E13" s="334">
        <v>191747</v>
      </c>
      <c r="F13" s="334">
        <v>187300</v>
      </c>
      <c r="G13" s="486">
        <v>199962</v>
      </c>
      <c r="H13" s="333">
        <v>233073</v>
      </c>
      <c r="I13" s="349">
        <v>236250</v>
      </c>
      <c r="J13" s="334">
        <v>253643</v>
      </c>
      <c r="K13" s="299">
        <v>235312</v>
      </c>
    </row>
    <row r="14" spans="1:12" s="482" customFormat="1" ht="17.25" customHeight="1" outlineLevel="1" x14ac:dyDescent="0.25">
      <c r="A14" s="400"/>
      <c r="B14" s="579" t="s">
        <v>1304</v>
      </c>
      <c r="C14" s="480">
        <v>0</v>
      </c>
      <c r="D14" s="334">
        <v>0</v>
      </c>
      <c r="E14" s="334">
        <v>0</v>
      </c>
      <c r="F14" s="334">
        <v>0</v>
      </c>
      <c r="G14" s="486">
        <v>0</v>
      </c>
      <c r="H14" s="333">
        <v>0</v>
      </c>
      <c r="I14" s="349">
        <v>0</v>
      </c>
      <c r="J14" s="334">
        <v>0</v>
      </c>
      <c r="K14" s="299">
        <v>0</v>
      </c>
    </row>
    <row r="15" spans="1:12" s="521" customFormat="1" ht="17.25" customHeight="1" outlineLevel="1" x14ac:dyDescent="0.25">
      <c r="A15" s="518"/>
      <c r="B15" s="579"/>
      <c r="C15" s="490"/>
      <c r="D15" s="491"/>
      <c r="E15" s="491"/>
      <c r="F15" s="491"/>
      <c r="G15" s="583"/>
      <c r="H15" s="584"/>
      <c r="I15" s="1295"/>
      <c r="J15" s="491"/>
      <c r="K15" s="578"/>
    </row>
    <row r="16" spans="1:12" s="482" customFormat="1" ht="17.25" customHeight="1" outlineLevel="1" x14ac:dyDescent="0.25">
      <c r="A16" s="400"/>
      <c r="B16" s="1292"/>
      <c r="C16" s="469"/>
      <c r="D16" s="470"/>
      <c r="E16" s="470"/>
      <c r="F16" s="470"/>
      <c r="G16" s="473"/>
      <c r="H16" s="474"/>
      <c r="I16" s="1296"/>
      <c r="J16" s="470"/>
      <c r="K16" s="471"/>
    </row>
    <row r="17" spans="1:12" s="91" customFormat="1" ht="13.5" outlineLevel="1" thickBot="1" x14ac:dyDescent="0.25">
      <c r="A17" s="399"/>
      <c r="B17" s="1289" t="s">
        <v>640</v>
      </c>
      <c r="C17" s="1290">
        <f t="shared" ref="C17:K17" si="0">SUM(C10:C16)</f>
        <v>163371</v>
      </c>
      <c r="D17" s="1290">
        <f t="shared" si="0"/>
        <v>177313</v>
      </c>
      <c r="E17" s="1290">
        <f t="shared" si="0"/>
        <v>210051</v>
      </c>
      <c r="F17" s="1290">
        <f t="shared" si="0"/>
        <v>204977</v>
      </c>
      <c r="G17" s="1290">
        <f t="shared" si="0"/>
        <v>219027</v>
      </c>
      <c r="H17" s="1290">
        <f t="shared" si="0"/>
        <v>249873</v>
      </c>
      <c r="I17" s="1290">
        <f t="shared" si="0"/>
        <v>254536</v>
      </c>
      <c r="J17" s="1290">
        <f t="shared" si="0"/>
        <v>270447</v>
      </c>
      <c r="K17" s="1291">
        <f t="shared" si="0"/>
        <v>246703</v>
      </c>
    </row>
    <row r="18" spans="1:12" s="128" customFormat="1" ht="27" customHeight="1" x14ac:dyDescent="0.25">
      <c r="A18" s="400"/>
      <c r="B18" s="459"/>
      <c r="C18" s="483"/>
      <c r="D18" s="483"/>
      <c r="L18" s="482"/>
    </row>
    <row r="19" spans="1:12" s="128" customFormat="1" ht="18.75" customHeight="1" thickBot="1" x14ac:dyDescent="0.3">
      <c r="A19" s="518"/>
      <c r="B19" s="485"/>
      <c r="L19" s="521"/>
    </row>
    <row r="20" spans="1:12" s="482" customFormat="1" ht="16.5" thickBot="1" x14ac:dyDescent="0.3">
      <c r="A20" s="484"/>
      <c r="B20" s="84" t="s">
        <v>1218</v>
      </c>
      <c r="C20" s="84"/>
      <c r="D20" s="84"/>
      <c r="E20" s="84"/>
      <c r="F20" s="84"/>
      <c r="G20" s="84"/>
      <c r="H20" s="84"/>
      <c r="I20" s="84"/>
      <c r="J20" s="84"/>
      <c r="K20" s="84"/>
    </row>
    <row r="21" spans="1:12" s="128" customFormat="1" ht="21" customHeight="1" outlineLevel="1" x14ac:dyDescent="0.25">
      <c r="A21" s="400"/>
      <c r="B21" s="476"/>
      <c r="C21" s="1663" t="s">
        <v>637</v>
      </c>
      <c r="D21" s="1664"/>
      <c r="E21" s="1664"/>
      <c r="F21" s="1664"/>
      <c r="G21" s="1664"/>
      <c r="H21" s="1664"/>
      <c r="I21" s="1664"/>
      <c r="J21" s="1664"/>
      <c r="K21" s="1665"/>
      <c r="L21" s="482"/>
    </row>
    <row r="22" spans="1:12" s="482" customFormat="1" ht="22.5" customHeight="1" outlineLevel="1" x14ac:dyDescent="0.25">
      <c r="A22" s="400"/>
      <c r="B22" s="116"/>
      <c r="C22" s="1666" t="s">
        <v>638</v>
      </c>
      <c r="D22" s="1667"/>
      <c r="E22" s="1667"/>
      <c r="F22" s="1667"/>
      <c r="G22" s="1667"/>
      <c r="H22" s="1667"/>
      <c r="I22" s="1667"/>
      <c r="J22" s="1667"/>
      <c r="K22" s="1668"/>
    </row>
    <row r="23" spans="1:12" s="482" customFormat="1" ht="15.75" outlineLevel="1" thickBot="1" x14ac:dyDescent="0.3">
      <c r="A23" s="400"/>
      <c r="B23" s="452"/>
      <c r="C23" s="444">
        <f ca="1">dms_y1</f>
        <v>2011</v>
      </c>
      <c r="D23" s="445">
        <f ca="1">dms_y2</f>
        <v>2012</v>
      </c>
      <c r="E23" s="445">
        <f ca="1">dms_y3</f>
        <v>2013</v>
      </c>
      <c r="F23" s="445">
        <f ca="1">dms_y4</f>
        <v>2014</v>
      </c>
      <c r="G23" s="445">
        <f ca="1">dms_y5</f>
        <v>2015</v>
      </c>
      <c r="H23" s="1318">
        <f ca="1">dms_y6</f>
        <v>2016</v>
      </c>
      <c r="I23" s="1318">
        <f ca="1">dms_y7</f>
        <v>2017</v>
      </c>
      <c r="J23" s="1318">
        <f ca="1">dms_y8</f>
        <v>2018</v>
      </c>
      <c r="K23" s="1318">
        <f ca="1">dms_y9</f>
        <v>2019</v>
      </c>
    </row>
    <row r="24" spans="1:12" s="482" customFormat="1" ht="12.75" customHeight="1" outlineLevel="1" x14ac:dyDescent="0.25">
      <c r="A24" s="400"/>
      <c r="B24" s="88" t="str">
        <f t="shared" ref="B24:B30" si="1">IF(ISBLANK(B10),"",B10)</f>
        <v>ARS - Reconnections</v>
      </c>
      <c r="C24" s="468">
        <v>590231.87774192041</v>
      </c>
      <c r="D24" s="330">
        <v>499622.89240273437</v>
      </c>
      <c r="E24" s="330">
        <v>526641.50494829717</v>
      </c>
      <c r="F24" s="330">
        <v>596962.21115413774</v>
      </c>
      <c r="G24" s="472">
        <v>557681.95439502329</v>
      </c>
      <c r="H24" s="329">
        <v>895849.5</v>
      </c>
      <c r="I24" s="348">
        <v>945129.26</v>
      </c>
      <c r="J24" s="330">
        <v>1024514.7199999999</v>
      </c>
      <c r="K24" s="331">
        <v>870725.48</v>
      </c>
    </row>
    <row r="25" spans="1:12" s="482" customFormat="1" ht="12.75" customHeight="1" outlineLevel="1" x14ac:dyDescent="0.25">
      <c r="A25" s="400"/>
      <c r="B25" s="88" t="str">
        <f t="shared" si="1"/>
        <v>ARS - Disconnections</v>
      </c>
      <c r="C25" s="480">
        <v>880718.3876534726</v>
      </c>
      <c r="D25" s="334">
        <v>704873.91615115898</v>
      </c>
      <c r="E25" s="334">
        <v>871298.01460269035</v>
      </c>
      <c r="F25" s="334">
        <v>1163286.2239244671</v>
      </c>
      <c r="G25" s="486">
        <v>1140158.6729853756</v>
      </c>
      <c r="H25" s="333">
        <v>1459273.5899999999</v>
      </c>
      <c r="I25" s="349">
        <v>1719767.92</v>
      </c>
      <c r="J25" s="334">
        <v>1628136.49</v>
      </c>
      <c r="K25" s="299">
        <v>1639933.97</v>
      </c>
    </row>
    <row r="26" spans="1:12" s="482" customFormat="1" ht="12.75" customHeight="1" outlineLevel="1" x14ac:dyDescent="0.25">
      <c r="A26" s="400"/>
      <c r="B26" s="88" t="str">
        <f t="shared" si="1"/>
        <v>ARS - Meter and Gas Installation test</v>
      </c>
      <c r="C26" s="480">
        <v>12432.094604606642</v>
      </c>
      <c r="D26" s="334">
        <v>34624.657211478028</v>
      </c>
      <c r="E26" s="334">
        <v>46861.98044900925</v>
      </c>
      <c r="F26" s="334">
        <v>4670.8773918344459</v>
      </c>
      <c r="G26" s="486">
        <v>0</v>
      </c>
      <c r="H26" s="333">
        <v>0</v>
      </c>
      <c r="I26" s="349">
        <v>0</v>
      </c>
      <c r="J26" s="1406">
        <v>85444.40216545912</v>
      </c>
      <c r="K26" s="1397">
        <v>91548.275262681287</v>
      </c>
    </row>
    <row r="27" spans="1:12" s="482" customFormat="1" ht="12.75" customHeight="1" outlineLevel="1" x14ac:dyDescent="0.25">
      <c r="A27" s="400"/>
      <c r="B27" s="88" t="str">
        <f t="shared" si="1"/>
        <v>ARS - Special Meter Reads</v>
      </c>
      <c r="C27" s="480">
        <v>1025537.28</v>
      </c>
      <c r="D27" s="334">
        <v>1259122.8600000001</v>
      </c>
      <c r="E27" s="334">
        <v>853236.15</v>
      </c>
      <c r="F27" s="334">
        <v>883103.70999999985</v>
      </c>
      <c r="G27" s="486">
        <v>878855.69000000006</v>
      </c>
      <c r="H27" s="333">
        <v>1011147.85</v>
      </c>
      <c r="I27" s="349">
        <v>904774.34000000008</v>
      </c>
      <c r="J27" s="334">
        <v>1346291.067834541</v>
      </c>
      <c r="K27" s="299">
        <v>1335430.9864620562</v>
      </c>
    </row>
    <row r="28" spans="1:12" s="482" customFormat="1" ht="12.75" customHeight="1" outlineLevel="1" x14ac:dyDescent="0.25">
      <c r="A28" s="400"/>
      <c r="B28" s="88" t="str">
        <f t="shared" si="1"/>
        <v>ARS - Other Non-Reference Services</v>
      </c>
      <c r="C28" s="480">
        <v>1588067.9005939378</v>
      </c>
      <c r="D28" s="334">
        <v>1583989.6297876367</v>
      </c>
      <c r="E28" s="334">
        <v>1004943.6500000001</v>
      </c>
      <c r="F28" s="334">
        <v>830795.62444462313</v>
      </c>
      <c r="G28" s="486">
        <v>787669.41000000085</v>
      </c>
      <c r="H28" s="333">
        <v>430357.95000000007</v>
      </c>
      <c r="I28" s="349">
        <v>349975.34</v>
      </c>
      <c r="J28" s="334">
        <v>292651.05000000005</v>
      </c>
      <c r="K28" s="299">
        <v>1045045.85</v>
      </c>
    </row>
    <row r="29" spans="1:12" s="521" customFormat="1" outlineLevel="1" x14ac:dyDescent="0.25">
      <c r="A29" s="518"/>
      <c r="B29" s="88" t="str">
        <f t="shared" si="1"/>
        <v/>
      </c>
      <c r="C29" s="490"/>
      <c r="D29" s="491"/>
      <c r="E29" s="491"/>
      <c r="F29" s="491"/>
      <c r="G29" s="583"/>
      <c r="H29" s="584"/>
      <c r="I29" s="1295"/>
      <c r="J29" s="491"/>
      <c r="K29" s="578"/>
    </row>
    <row r="30" spans="1:12" s="521" customFormat="1" outlineLevel="1" x14ac:dyDescent="0.25">
      <c r="A30" s="518"/>
      <c r="B30" s="88" t="str">
        <f t="shared" si="1"/>
        <v/>
      </c>
      <c r="C30" s="469"/>
      <c r="D30" s="470"/>
      <c r="E30" s="470"/>
      <c r="F30" s="470"/>
      <c r="G30" s="473"/>
      <c r="H30" s="474"/>
      <c r="I30" s="1296"/>
      <c r="J30" s="470"/>
      <c r="K30" s="471"/>
    </row>
    <row r="31" spans="1:12" s="91" customFormat="1" ht="12.75" customHeight="1" outlineLevel="1" thickBot="1" x14ac:dyDescent="0.25">
      <c r="A31" s="399"/>
      <c r="B31" s="589" t="s">
        <v>640</v>
      </c>
      <c r="C31" s="590">
        <f t="shared" ref="C31:K31" si="2">SUM(C24:C30)</f>
        <v>4096987.5405939375</v>
      </c>
      <c r="D31" s="590">
        <f t="shared" si="2"/>
        <v>4082233.9555530082</v>
      </c>
      <c r="E31" s="590">
        <f t="shared" si="2"/>
        <v>3302981.299999997</v>
      </c>
      <c r="F31" s="590">
        <f t="shared" si="2"/>
        <v>3478818.6469150623</v>
      </c>
      <c r="G31" s="590">
        <f t="shared" si="2"/>
        <v>3364365.7273803996</v>
      </c>
      <c r="H31" s="590">
        <f t="shared" si="2"/>
        <v>3796628.89</v>
      </c>
      <c r="I31" s="590">
        <f t="shared" si="2"/>
        <v>3919646.8599999994</v>
      </c>
      <c r="J31" s="590">
        <f t="shared" si="2"/>
        <v>4377037.7299999995</v>
      </c>
      <c r="K31" s="458">
        <f t="shared" si="2"/>
        <v>4982684.5617247373</v>
      </c>
    </row>
    <row r="32" spans="1:12" s="128" customFormat="1" ht="30" customHeight="1" x14ac:dyDescent="0.25">
      <c r="A32"/>
      <c r="B32" s="485"/>
      <c r="L32" s="482"/>
    </row>
  </sheetData>
  <mergeCells count="4">
    <mergeCell ref="C7:K7"/>
    <mergeCell ref="C8:K8"/>
    <mergeCell ref="C21:K21"/>
    <mergeCell ref="C22:K22"/>
  </mergeCells>
  <pageMargins left="0.7" right="0.7" top="0.75" bottom="0.75" header="0.3" footer="0.3"/>
  <pageSetup paperSize="0" orientation="portrait" horizontalDpi="0" verticalDpi="0" copies="0" r:id="rId1"/>
  <customProperties>
    <customPr name="_pios_id" r:id="rId2"/>
    <customPr name="EpmWorksheetKeyString_GUID" r:id="rId3"/>
  </customPropertie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6" tint="-0.249977111117893"/>
  </sheetPr>
  <dimension ref="A1:L95"/>
  <sheetViews>
    <sheetView showGridLines="0" zoomScale="70" zoomScaleNormal="70" workbookViewId="0">
      <selection activeCell="A2" sqref="A2"/>
    </sheetView>
  </sheetViews>
  <sheetFormatPr defaultColWidth="9.140625" defaultRowHeight="15" outlineLevelRow="1" x14ac:dyDescent="0.25"/>
  <cols>
    <col min="1" max="1" width="22.7109375" style="401" customWidth="1"/>
    <col min="2" max="2" width="118.140625" style="401" customWidth="1"/>
    <col min="3" max="3" width="18.7109375" style="401" customWidth="1"/>
    <col min="4" max="4" width="18.7109375" style="1294" customWidth="1"/>
    <col min="5" max="11" width="18.7109375" style="401" customWidth="1"/>
    <col min="12" max="16384" width="9.140625" style="401"/>
  </cols>
  <sheetData>
    <row r="1" spans="1:12" ht="30" customHeight="1" x14ac:dyDescent="0.25">
      <c r="B1" s="103" t="str">
        <f>IF(dms_MultiYear_ResponseFlag="Yes","REGULATORY REPORTING STATEMENT - HISTORICAL INFORMATION",INDEX(dms_Worksheet_List,MATCH(dms_Model,dms_Model_List)))</f>
        <v>REGULATORY REPORTING STATEMENT - HISTORICAL INFORMATION</v>
      </c>
      <c r="C1" s="76"/>
      <c r="D1" s="76"/>
      <c r="E1" s="76"/>
      <c r="F1" s="76"/>
      <c r="G1" s="76"/>
      <c r="H1" s="76"/>
      <c r="I1" s="76"/>
      <c r="J1" s="76"/>
      <c r="K1" s="76"/>
    </row>
    <row r="2" spans="1:12" ht="30" customHeight="1" x14ac:dyDescent="0.25">
      <c r="B2" s="103" t="str">
        <f>INDEX(dms_TradingNameFull_List,MATCH(dms_TradingName,dms_TradingName_List))</f>
        <v>AusNet Gas Services</v>
      </c>
      <c r="C2" s="76"/>
      <c r="D2" s="76"/>
      <c r="E2" s="76"/>
      <c r="F2" s="76"/>
      <c r="G2" s="76"/>
      <c r="H2" s="76"/>
      <c r="I2" s="76"/>
      <c r="J2" s="76"/>
      <c r="K2" s="76"/>
    </row>
    <row r="3" spans="1:12" ht="30" customHeight="1" x14ac:dyDescent="0.25">
      <c r="B3" s="103" t="str">
        <f>CONCATENATE(CRY," to ",dms_MultiYear_FinalYear_Result)</f>
        <v>2011 to 2019</v>
      </c>
      <c r="C3" s="76"/>
      <c r="D3" s="76"/>
      <c r="E3" s="76"/>
      <c r="F3" s="76"/>
      <c r="G3" s="76"/>
      <c r="H3" s="76"/>
      <c r="I3" s="76"/>
      <c r="J3" s="76"/>
      <c r="K3" s="76"/>
    </row>
    <row r="4" spans="1:12" ht="30" customHeight="1" x14ac:dyDescent="0.25">
      <c r="B4" s="83" t="s">
        <v>710</v>
      </c>
      <c r="C4" s="323"/>
      <c r="D4" s="323"/>
      <c r="E4" s="323"/>
      <c r="F4" s="323"/>
      <c r="G4" s="323"/>
      <c r="H4" s="323"/>
      <c r="I4" s="323"/>
      <c r="J4" s="323"/>
      <c r="K4" s="323"/>
    </row>
    <row r="5" spans="1:12" ht="15.75" thickBot="1" x14ac:dyDescent="0.3"/>
    <row r="6" spans="1:12" s="521" customFormat="1" ht="25.5" customHeight="1" thickBot="1" x14ac:dyDescent="0.3">
      <c r="B6" s="84" t="s">
        <v>877</v>
      </c>
      <c r="C6" s="84"/>
      <c r="D6" s="84"/>
      <c r="E6" s="84"/>
      <c r="F6" s="84"/>
      <c r="G6" s="84"/>
      <c r="H6" s="84"/>
      <c r="I6" s="84"/>
      <c r="J6" s="84"/>
      <c r="K6" s="84"/>
    </row>
    <row r="7" spans="1:12" s="437" customFormat="1" ht="27.75" customHeight="1" outlineLevel="1" x14ac:dyDescent="0.25">
      <c r="A7" s="521"/>
      <c r="B7" s="585"/>
      <c r="C7" s="1675" t="s">
        <v>701</v>
      </c>
      <c r="D7" s="1677"/>
      <c r="E7" s="1677"/>
      <c r="F7" s="1677"/>
      <c r="G7" s="1677"/>
      <c r="H7" s="1677"/>
      <c r="I7" s="1677"/>
      <c r="J7" s="1677"/>
      <c r="K7" s="1678"/>
      <c r="L7" s="521"/>
    </row>
    <row r="8" spans="1:12" s="437" customFormat="1" outlineLevel="1" x14ac:dyDescent="0.25">
      <c r="B8" s="587"/>
      <c r="C8" s="1672" t="s">
        <v>1201</v>
      </c>
      <c r="D8" s="1673"/>
      <c r="E8" s="1673"/>
      <c r="F8" s="1673"/>
      <c r="G8" s="1673"/>
      <c r="H8" s="1673"/>
      <c r="I8" s="1673"/>
      <c r="J8" s="1673"/>
      <c r="K8" s="1674"/>
      <c r="L8" s="521"/>
    </row>
    <row r="9" spans="1:12" s="521" customFormat="1" ht="18.75" customHeight="1" outlineLevel="1" thickBot="1" x14ac:dyDescent="0.3">
      <c r="B9" s="586"/>
      <c r="C9" s="424">
        <f ca="1">dms_y1</f>
        <v>2011</v>
      </c>
      <c r="D9" s="425">
        <f ca="1">dms_y2</f>
        <v>2012</v>
      </c>
      <c r="E9" s="425">
        <f ca="1">dms_y3</f>
        <v>2013</v>
      </c>
      <c r="F9" s="425">
        <f ca="1">dms_y4</f>
        <v>2014</v>
      </c>
      <c r="G9" s="425">
        <f ca="1">dms_y5</f>
        <v>2015</v>
      </c>
      <c r="H9" s="426">
        <f ca="1">dms_y6</f>
        <v>2016</v>
      </c>
      <c r="I9" s="426">
        <f ca="1">dms_y7</f>
        <v>2017</v>
      </c>
      <c r="J9" s="426">
        <f ca="1">dms_y8</f>
        <v>2018</v>
      </c>
      <c r="K9" s="427">
        <f ca="1">dms_y9</f>
        <v>2019</v>
      </c>
    </row>
    <row r="10" spans="1:12" s="521" customFormat="1" ht="18.75" customHeight="1" outlineLevel="1" x14ac:dyDescent="0.25">
      <c r="B10" s="644" t="s">
        <v>702</v>
      </c>
      <c r="C10" s="468">
        <v>28859268.37991542</v>
      </c>
      <c r="D10" s="330">
        <v>30737582.854999997</v>
      </c>
      <c r="E10" s="330">
        <v>28894865.364999995</v>
      </c>
      <c r="F10" s="330">
        <v>28345467.881000001</v>
      </c>
      <c r="G10" s="1298">
        <v>32404210.331999999</v>
      </c>
      <c r="H10" s="348">
        <v>31691505.866</v>
      </c>
      <c r="I10" s="330">
        <v>32607050.293000005</v>
      </c>
      <c r="J10" s="330">
        <v>31814609.162</v>
      </c>
      <c r="K10" s="331">
        <v>32621302.808000002</v>
      </c>
    </row>
    <row r="11" spans="1:12" s="521" customFormat="1" ht="18.75" customHeight="1" outlineLevel="1" x14ac:dyDescent="0.25">
      <c r="B11" s="644" t="s">
        <v>878</v>
      </c>
      <c r="C11" s="1321">
        <v>5846267.412084558</v>
      </c>
      <c r="D11" s="566">
        <v>5956040.54</v>
      </c>
      <c r="E11" s="566">
        <v>5799752.318</v>
      </c>
      <c r="F11" s="566">
        <v>5746182.563000001</v>
      </c>
      <c r="G11" s="1301">
        <v>6216116.2490000008</v>
      </c>
      <c r="H11" s="565">
        <v>6130908.7919999994</v>
      </c>
      <c r="I11" s="566">
        <v>6060091.101999999</v>
      </c>
      <c r="J11" s="566">
        <v>6031244.1100000003</v>
      </c>
      <c r="K11" s="567">
        <v>6183764.9410000006</v>
      </c>
    </row>
    <row r="12" spans="1:12" s="521" customFormat="1" ht="18.75" customHeight="1" outlineLevel="1" x14ac:dyDescent="0.25">
      <c r="B12" s="644" t="s">
        <v>879</v>
      </c>
      <c r="C12" s="1322">
        <v>36449602.350000016</v>
      </c>
      <c r="D12" s="1323">
        <v>36275985.540000036</v>
      </c>
      <c r="E12" s="1323">
        <v>33498890.389999997</v>
      </c>
      <c r="F12" s="1323">
        <v>30175326.180000003</v>
      </c>
      <c r="G12" s="1302">
        <v>28931655.309999999</v>
      </c>
      <c r="H12" s="1324">
        <v>28197298.179999992</v>
      </c>
      <c r="I12" s="1323">
        <v>28258344.340000015</v>
      </c>
      <c r="J12" s="1323">
        <v>25905202.789999984</v>
      </c>
      <c r="K12" s="1325">
        <v>27422750.15000001</v>
      </c>
    </row>
    <row r="13" spans="1:12" s="521" customFormat="1" ht="15.75" thickBot="1" x14ac:dyDescent="0.3">
      <c r="B13" s="589" t="s">
        <v>640</v>
      </c>
      <c r="C13" s="1290">
        <f t="shared" ref="C13:K13" si="0">SUM(C10:C12)</f>
        <v>71155138.14199999</v>
      </c>
      <c r="D13" s="1290">
        <f t="shared" si="0"/>
        <v>72969608.935000032</v>
      </c>
      <c r="E13" s="1290">
        <f t="shared" si="0"/>
        <v>68193508.072999999</v>
      </c>
      <c r="F13" s="1290">
        <f t="shared" si="0"/>
        <v>64266976.624000013</v>
      </c>
      <c r="G13" s="1290">
        <f t="shared" si="0"/>
        <v>67551981.891000003</v>
      </c>
      <c r="H13" s="1290">
        <f t="shared" si="0"/>
        <v>66019712.837999992</v>
      </c>
      <c r="I13" s="1290">
        <f t="shared" si="0"/>
        <v>66925485.735000014</v>
      </c>
      <c r="J13" s="1290">
        <f t="shared" si="0"/>
        <v>63751056.061999984</v>
      </c>
      <c r="K13" s="1291">
        <f t="shared" si="0"/>
        <v>66227817.899000019</v>
      </c>
    </row>
    <row r="14" spans="1:12" s="521" customFormat="1" x14ac:dyDescent="0.25">
      <c r="I14" s="1294"/>
    </row>
    <row r="15" spans="1:12" s="521" customFormat="1" ht="15.75" thickBot="1" x14ac:dyDescent="0.3">
      <c r="I15" s="1294"/>
    </row>
    <row r="16" spans="1:12" s="482" customFormat="1" ht="25.5" customHeight="1" thickBot="1" x14ac:dyDescent="0.3">
      <c r="A16"/>
      <c r="B16" s="84" t="s">
        <v>876</v>
      </c>
      <c r="C16" s="84"/>
      <c r="D16" s="84"/>
      <c r="E16" s="84"/>
      <c r="F16" s="84"/>
      <c r="G16" s="84"/>
      <c r="H16" s="84"/>
      <c r="I16" s="84"/>
      <c r="J16" s="84"/>
      <c r="K16" s="84"/>
    </row>
    <row r="17" spans="1:12" s="437" customFormat="1" ht="27.75" customHeight="1" outlineLevel="1" x14ac:dyDescent="0.25">
      <c r="A17"/>
      <c r="B17" s="585"/>
      <c r="C17" s="1675" t="s">
        <v>701</v>
      </c>
      <c r="D17" s="1676"/>
      <c r="E17" s="1677"/>
      <c r="F17" s="1677"/>
      <c r="G17" s="1677"/>
      <c r="H17" s="1677"/>
      <c r="I17" s="1677"/>
      <c r="J17" s="1677"/>
      <c r="K17" s="1678"/>
      <c r="L17" s="482"/>
    </row>
    <row r="18" spans="1:12" s="437" customFormat="1" outlineLevel="1" x14ac:dyDescent="0.25">
      <c r="B18" s="587"/>
      <c r="C18" s="1672" t="s">
        <v>1201</v>
      </c>
      <c r="D18" s="1679"/>
      <c r="E18" s="1673"/>
      <c r="F18" s="1673"/>
      <c r="G18" s="1673"/>
      <c r="H18" s="1673"/>
      <c r="I18" s="1673"/>
      <c r="J18" s="1673"/>
      <c r="K18" s="1674"/>
      <c r="L18" s="482"/>
    </row>
    <row r="19" spans="1:12" s="482" customFormat="1" ht="18.75" customHeight="1" outlineLevel="1" thickBot="1" x14ac:dyDescent="0.3">
      <c r="B19" s="586" t="s">
        <v>858</v>
      </c>
      <c r="C19" s="424">
        <f ca="1">dms_y1</f>
        <v>2011</v>
      </c>
      <c r="D19" s="425">
        <f ca="1">dms_y2</f>
        <v>2012</v>
      </c>
      <c r="E19" s="425">
        <f ca="1">dms_y3</f>
        <v>2013</v>
      </c>
      <c r="F19" s="425">
        <f ca="1">dms_y4</f>
        <v>2014</v>
      </c>
      <c r="G19" s="425">
        <f ca="1">dms_y5</f>
        <v>2015</v>
      </c>
      <c r="H19" s="426">
        <f ca="1">dms_y6</f>
        <v>2016</v>
      </c>
      <c r="I19" s="426">
        <f ca="1">dms_y7</f>
        <v>2017</v>
      </c>
      <c r="J19" s="426">
        <f ca="1">dms_y8</f>
        <v>2018</v>
      </c>
      <c r="K19" s="427">
        <f ca="1">dms_y9</f>
        <v>2019</v>
      </c>
    </row>
    <row r="20" spans="1:12" s="482" customFormat="1" outlineLevel="1" x14ac:dyDescent="0.25">
      <c r="B20" s="1359" t="s">
        <v>1363</v>
      </c>
      <c r="C20" s="348">
        <v>22165049.064638041</v>
      </c>
      <c r="D20" s="348">
        <v>23597991.445999999</v>
      </c>
      <c r="E20" s="330">
        <v>22123969.818999998</v>
      </c>
      <c r="F20" s="330">
        <v>21625924.317000002</v>
      </c>
      <c r="G20" s="1298">
        <v>24860861.272</v>
      </c>
      <c r="H20" s="348">
        <v>24089124.975000001</v>
      </c>
      <c r="I20" s="330">
        <v>24871546.456</v>
      </c>
      <c r="J20" s="330">
        <v>24195724.213</v>
      </c>
      <c r="K20" s="331">
        <v>24823311.925000001</v>
      </c>
    </row>
    <row r="21" spans="1:12" s="482" customFormat="1" outlineLevel="1" x14ac:dyDescent="0.25">
      <c r="B21" s="1360" t="s">
        <v>1364</v>
      </c>
      <c r="C21" s="565">
        <v>4360259.1034432203</v>
      </c>
      <c r="D21" s="565">
        <v>4231387.71</v>
      </c>
      <c r="E21" s="566">
        <v>4175013.1869999999</v>
      </c>
      <c r="F21" s="566">
        <v>4145894.4580000001</v>
      </c>
      <c r="G21" s="1301">
        <v>4500786.2690000003</v>
      </c>
      <c r="H21" s="565">
        <v>4383966.3159999996</v>
      </c>
      <c r="I21" s="566">
        <v>4286300.9409999996</v>
      </c>
      <c r="J21" s="566">
        <v>4310773.9369999999</v>
      </c>
      <c r="K21" s="567">
        <v>4361788.233</v>
      </c>
    </row>
    <row r="22" spans="1:12" s="482" customFormat="1" outlineLevel="1" x14ac:dyDescent="0.25">
      <c r="B22" s="1361" t="s">
        <v>1365</v>
      </c>
      <c r="C22" s="478">
        <v>33152.545912141955</v>
      </c>
      <c r="D22" s="478">
        <v>39358.612000000001</v>
      </c>
      <c r="E22" s="477">
        <v>40659.559000000001</v>
      </c>
      <c r="F22" s="477">
        <v>44103.548999999999</v>
      </c>
      <c r="G22" s="1303">
        <v>52464.88</v>
      </c>
      <c r="H22" s="478">
        <v>53926.286</v>
      </c>
      <c r="I22" s="477">
        <v>59962.953000000001</v>
      </c>
      <c r="J22" s="477">
        <v>60039.667000000001</v>
      </c>
      <c r="K22" s="479">
        <v>63685.680999999997</v>
      </c>
    </row>
    <row r="23" spans="1:12" s="482" customFormat="1" outlineLevel="1" x14ac:dyDescent="0.25">
      <c r="B23" s="1360" t="s">
        <v>1366</v>
      </c>
      <c r="C23" s="565">
        <v>3548.1695085499368</v>
      </c>
      <c r="D23" s="565">
        <v>2955.92</v>
      </c>
      <c r="E23" s="566">
        <v>3260.1819999999998</v>
      </c>
      <c r="F23" s="566">
        <v>3424.0039999999999</v>
      </c>
      <c r="G23" s="1301">
        <v>3469.16</v>
      </c>
      <c r="H23" s="565">
        <v>3849.944</v>
      </c>
      <c r="I23" s="566">
        <v>3697.9830000000002</v>
      </c>
      <c r="J23" s="566">
        <v>3448.23</v>
      </c>
      <c r="K23" s="567">
        <v>3912.1709999999998</v>
      </c>
    </row>
    <row r="24" spans="1:12" s="482" customFormat="1" outlineLevel="1" x14ac:dyDescent="0.25">
      <c r="B24" s="1361" t="s">
        <v>1367</v>
      </c>
      <c r="C24" s="478">
        <v>6301791.2518971665</v>
      </c>
      <c r="D24" s="478">
        <v>6681725.6679999996</v>
      </c>
      <c r="E24" s="477">
        <v>6315133.4069999997</v>
      </c>
      <c r="F24" s="477">
        <v>6237550.9699999997</v>
      </c>
      <c r="G24" s="1303">
        <v>6985026.5120000001</v>
      </c>
      <c r="H24" s="478">
        <v>7021140.0999999996</v>
      </c>
      <c r="I24" s="477">
        <v>7126807.9419999998</v>
      </c>
      <c r="J24" s="477">
        <v>7006807.7640000004</v>
      </c>
      <c r="K24" s="479">
        <v>7140837.932</v>
      </c>
    </row>
    <row r="25" spans="1:12" s="482" customFormat="1" outlineLevel="1" x14ac:dyDescent="0.25">
      <c r="B25" s="1360" t="s">
        <v>1368</v>
      </c>
      <c r="C25" s="565">
        <v>1410672.8141395624</v>
      </c>
      <c r="D25" s="565">
        <v>1638908.226</v>
      </c>
      <c r="E25" s="566">
        <v>1539820.2050000001</v>
      </c>
      <c r="F25" s="566">
        <v>1511781.5649999999</v>
      </c>
      <c r="G25" s="1301">
        <v>1619490.3940000001</v>
      </c>
      <c r="H25" s="565">
        <v>1644468.351</v>
      </c>
      <c r="I25" s="566">
        <v>1670940.4580000001</v>
      </c>
      <c r="J25" s="566">
        <v>1617693.1769999999</v>
      </c>
      <c r="K25" s="567">
        <v>1710545.1089999999</v>
      </c>
    </row>
    <row r="26" spans="1:12" s="482" customFormat="1" outlineLevel="1" x14ac:dyDescent="0.25">
      <c r="B26" s="1361" t="s">
        <v>1369</v>
      </c>
      <c r="C26" s="478">
        <v>359275.51746806805</v>
      </c>
      <c r="D26" s="478">
        <v>418507.12900000002</v>
      </c>
      <c r="E26" s="477">
        <v>415102.58</v>
      </c>
      <c r="F26" s="477">
        <v>437889.04499999998</v>
      </c>
      <c r="G26" s="1303">
        <v>505857.66800000001</v>
      </c>
      <c r="H26" s="478">
        <v>527314.505</v>
      </c>
      <c r="I26" s="477">
        <v>548732.94200000004</v>
      </c>
      <c r="J26" s="477">
        <v>552037.51800000004</v>
      </c>
      <c r="K26" s="479">
        <v>593467.27</v>
      </c>
    </row>
    <row r="27" spans="1:12" s="482" customFormat="1" outlineLevel="1" x14ac:dyDescent="0.25">
      <c r="B27" s="1360" t="s">
        <v>1370</v>
      </c>
      <c r="C27" s="565">
        <v>71787.32499322496</v>
      </c>
      <c r="D27" s="565">
        <v>82788.683999999994</v>
      </c>
      <c r="E27" s="566">
        <v>81658.744000000006</v>
      </c>
      <c r="F27" s="566">
        <v>85082.535999999993</v>
      </c>
      <c r="G27" s="1301">
        <v>92370.426000000007</v>
      </c>
      <c r="H27" s="565">
        <v>98624.180999999997</v>
      </c>
      <c r="I27" s="566">
        <v>99151.72</v>
      </c>
      <c r="J27" s="566">
        <v>99328.766000000003</v>
      </c>
      <c r="K27" s="567">
        <v>107519.428</v>
      </c>
    </row>
    <row r="28" spans="1:12" s="482" customFormat="1" outlineLevel="1" x14ac:dyDescent="0.25">
      <c r="B28" s="1361" t="s">
        <v>1371</v>
      </c>
      <c r="C28" s="478">
        <v>29895689.390000027</v>
      </c>
      <c r="D28" s="478">
        <v>29768360.91000003</v>
      </c>
      <c r="E28" s="477">
        <v>27295244.420000002</v>
      </c>
      <c r="F28" s="477">
        <v>27121538.920000002</v>
      </c>
      <c r="G28" s="1303">
        <v>22695497.82</v>
      </c>
      <c r="H28" s="478">
        <v>21994421.479999993</v>
      </c>
      <c r="I28" s="477">
        <v>22150269.610000018</v>
      </c>
      <c r="J28" s="477">
        <v>19703209.569999985</v>
      </c>
      <c r="K28" s="479">
        <v>21417337.150000002</v>
      </c>
    </row>
    <row r="29" spans="1:12" s="482" customFormat="1" outlineLevel="1" x14ac:dyDescent="0.25">
      <c r="B29" s="1360" t="s">
        <v>1372</v>
      </c>
      <c r="C29" s="565">
        <v>25514.28</v>
      </c>
      <c r="D29" s="565">
        <v>87374.48000000001</v>
      </c>
      <c r="E29" s="566">
        <v>155013.06</v>
      </c>
      <c r="F29" s="566">
        <v>143872.79</v>
      </c>
      <c r="G29" s="1301">
        <v>163970.46</v>
      </c>
      <c r="H29" s="565">
        <v>164024.50999999998</v>
      </c>
      <c r="I29" s="566">
        <v>167615.38999999998</v>
      </c>
      <c r="J29" s="566">
        <v>175934.96</v>
      </c>
      <c r="K29" s="567">
        <v>180937.57</v>
      </c>
    </row>
    <row r="30" spans="1:12" s="1279" customFormat="1" outlineLevel="1" x14ac:dyDescent="0.25">
      <c r="B30" s="1361" t="s">
        <v>1373</v>
      </c>
      <c r="C30" s="478">
        <v>5649988.679999996</v>
      </c>
      <c r="D30" s="478">
        <v>5509437.6299999999</v>
      </c>
      <c r="E30" s="477">
        <v>5139972.3999999994</v>
      </c>
      <c r="F30" s="477">
        <v>5393461.0600000005</v>
      </c>
      <c r="G30" s="1303">
        <v>5543189.2599999998</v>
      </c>
      <c r="H30" s="478">
        <v>5373715.3599999975</v>
      </c>
      <c r="I30" s="477">
        <v>5410951.3600000003</v>
      </c>
      <c r="J30" s="477">
        <v>5294009.1599999983</v>
      </c>
      <c r="K30" s="479">
        <v>5118407.7500000065</v>
      </c>
    </row>
    <row r="31" spans="1:12" s="1279" customFormat="1" outlineLevel="1" x14ac:dyDescent="0.25">
      <c r="B31" s="1360" t="s">
        <v>1374</v>
      </c>
      <c r="C31" s="565">
        <v>60177.399999999994</v>
      </c>
      <c r="D31" s="565">
        <v>54914.420000000006</v>
      </c>
      <c r="E31" s="566">
        <v>74801.149999999994</v>
      </c>
      <c r="F31" s="566">
        <v>86798.48000000001</v>
      </c>
      <c r="G31" s="1301">
        <v>46364.69</v>
      </c>
      <c r="H31" s="565">
        <v>45840.579999999994</v>
      </c>
      <c r="I31" s="566">
        <v>63981.539999999994</v>
      </c>
      <c r="J31" s="566">
        <v>55236.78</v>
      </c>
      <c r="K31" s="567">
        <v>49295.3</v>
      </c>
    </row>
    <row r="32" spans="1:12" s="1279" customFormat="1" outlineLevel="1" x14ac:dyDescent="0.25">
      <c r="B32" s="1361" t="s">
        <v>1375</v>
      </c>
      <c r="C32" s="478">
        <v>676425.98000000033</v>
      </c>
      <c r="D32" s="478">
        <v>705025.23999999964</v>
      </c>
      <c r="E32" s="477">
        <v>686594.09000000008</v>
      </c>
      <c r="F32" s="477">
        <v>-2697408.6399999997</v>
      </c>
      <c r="G32" s="1303">
        <v>344936.56</v>
      </c>
      <c r="H32" s="478">
        <v>506310.08</v>
      </c>
      <c r="I32" s="477">
        <v>347389.04</v>
      </c>
      <c r="J32" s="477">
        <v>510935.60999999987</v>
      </c>
      <c r="K32" s="479">
        <v>480202.78999999986</v>
      </c>
    </row>
    <row r="33" spans="2:11" s="1279" customFormat="1" outlineLevel="1" x14ac:dyDescent="0.25">
      <c r="B33" s="1360" t="s">
        <v>1376</v>
      </c>
      <c r="C33" s="565">
        <v>0</v>
      </c>
      <c r="D33" s="565">
        <v>0</v>
      </c>
      <c r="E33" s="566">
        <v>0</v>
      </c>
      <c r="F33" s="566">
        <v>0</v>
      </c>
      <c r="G33" s="1301">
        <v>0</v>
      </c>
      <c r="H33" s="565">
        <v>0</v>
      </c>
      <c r="I33" s="566">
        <v>0</v>
      </c>
      <c r="J33" s="566">
        <v>0</v>
      </c>
      <c r="K33" s="567">
        <v>0</v>
      </c>
    </row>
    <row r="34" spans="2:11" s="1279" customFormat="1" outlineLevel="1" x14ac:dyDescent="0.25">
      <c r="B34" s="1361" t="s">
        <v>1377</v>
      </c>
      <c r="C34" s="478">
        <v>141806.62</v>
      </c>
      <c r="D34" s="478">
        <v>150872.86000000002</v>
      </c>
      <c r="E34" s="477">
        <v>147265.26999999999</v>
      </c>
      <c r="F34" s="477">
        <v>127063.56999999999</v>
      </c>
      <c r="G34" s="1303">
        <v>137696.51999999999</v>
      </c>
      <c r="H34" s="478">
        <v>112986.16999999998</v>
      </c>
      <c r="I34" s="477">
        <v>118137.4</v>
      </c>
      <c r="J34" s="477">
        <v>165876.71</v>
      </c>
      <c r="K34" s="479">
        <v>176569.59000000003</v>
      </c>
    </row>
    <row r="35" spans="2:11" s="1279" customFormat="1" outlineLevel="1" x14ac:dyDescent="0.25">
      <c r="B35" s="1360" t="s">
        <v>1378</v>
      </c>
      <c r="C35" s="565">
        <v>0</v>
      </c>
      <c r="D35" s="565">
        <v>0</v>
      </c>
      <c r="E35" s="566">
        <v>0</v>
      </c>
      <c r="F35" s="566">
        <v>0</v>
      </c>
      <c r="G35" s="1301">
        <v>0</v>
      </c>
      <c r="H35" s="565">
        <v>0</v>
      </c>
      <c r="I35" s="566">
        <v>0</v>
      </c>
      <c r="J35" s="566">
        <v>0</v>
      </c>
      <c r="K35" s="567">
        <v>0</v>
      </c>
    </row>
    <row r="36" spans="2:11" s="1279" customFormat="1" outlineLevel="1" x14ac:dyDescent="0.25">
      <c r="B36" s="1361" t="s">
        <v>1232</v>
      </c>
      <c r="C36" s="478"/>
      <c r="D36" s="478"/>
      <c r="E36" s="477"/>
      <c r="F36" s="477"/>
      <c r="G36" s="1303"/>
      <c r="H36" s="478"/>
      <c r="I36" s="477"/>
      <c r="J36" s="477"/>
      <c r="K36" s="479"/>
    </row>
    <row r="37" spans="2:11" s="1279" customFormat="1" outlineLevel="1" x14ac:dyDescent="0.25">
      <c r="B37" s="1360" t="s">
        <v>1233</v>
      </c>
      <c r="C37" s="565"/>
      <c r="D37" s="565"/>
      <c r="E37" s="566"/>
      <c r="F37" s="566"/>
      <c r="G37" s="1301"/>
      <c r="H37" s="565"/>
      <c r="I37" s="566"/>
      <c r="J37" s="566"/>
      <c r="K37" s="567"/>
    </row>
    <row r="38" spans="2:11" s="1279" customFormat="1" outlineLevel="1" x14ac:dyDescent="0.25">
      <c r="B38" s="1361" t="s">
        <v>1234</v>
      </c>
      <c r="C38" s="478"/>
      <c r="D38" s="478"/>
      <c r="E38" s="477"/>
      <c r="F38" s="477"/>
      <c r="G38" s="1303"/>
      <c r="H38" s="478"/>
      <c r="I38" s="477"/>
      <c r="J38" s="477"/>
      <c r="K38" s="479"/>
    </row>
    <row r="39" spans="2:11" s="1279" customFormat="1" outlineLevel="1" x14ac:dyDescent="0.25">
      <c r="B39" s="1360" t="s">
        <v>1235</v>
      </c>
      <c r="C39" s="565"/>
      <c r="D39" s="565"/>
      <c r="E39" s="566"/>
      <c r="F39" s="566"/>
      <c r="G39" s="1301"/>
      <c r="H39" s="565"/>
      <c r="I39" s="566"/>
      <c r="J39" s="566"/>
      <c r="K39" s="567"/>
    </row>
    <row r="40" spans="2:11" s="1279" customFormat="1" outlineLevel="1" x14ac:dyDescent="0.25">
      <c r="B40" s="1361" t="s">
        <v>1236</v>
      </c>
      <c r="C40" s="478"/>
      <c r="D40" s="478"/>
      <c r="E40" s="477"/>
      <c r="F40" s="477"/>
      <c r="G40" s="1303"/>
      <c r="H40" s="478"/>
      <c r="I40" s="477"/>
      <c r="J40" s="477"/>
      <c r="K40" s="479"/>
    </row>
    <row r="41" spans="2:11" s="1279" customFormat="1" outlineLevel="1" x14ac:dyDescent="0.25">
      <c r="B41" s="1360" t="s">
        <v>1237</v>
      </c>
      <c r="C41" s="565"/>
      <c r="D41" s="565"/>
      <c r="E41" s="566"/>
      <c r="F41" s="566"/>
      <c r="G41" s="1301"/>
      <c r="H41" s="565"/>
      <c r="I41" s="566"/>
      <c r="J41" s="566"/>
      <c r="K41" s="567"/>
    </row>
    <row r="42" spans="2:11" s="1279" customFormat="1" outlineLevel="1" x14ac:dyDescent="0.25">
      <c r="B42" s="1361" t="s">
        <v>1238</v>
      </c>
      <c r="C42" s="478"/>
      <c r="D42" s="478"/>
      <c r="E42" s="477"/>
      <c r="F42" s="477"/>
      <c r="G42" s="1303"/>
      <c r="H42" s="478"/>
      <c r="I42" s="477"/>
      <c r="J42" s="477"/>
      <c r="K42" s="479"/>
    </row>
    <row r="43" spans="2:11" s="1279" customFormat="1" outlineLevel="1" x14ac:dyDescent="0.25">
      <c r="B43" s="1360" t="s">
        <v>1239</v>
      </c>
      <c r="C43" s="565"/>
      <c r="D43" s="565"/>
      <c r="E43" s="566"/>
      <c r="F43" s="566"/>
      <c r="G43" s="1301"/>
      <c r="H43" s="565"/>
      <c r="I43" s="566"/>
      <c r="J43" s="566"/>
      <c r="K43" s="567"/>
    </row>
    <row r="44" spans="2:11" s="1279" customFormat="1" outlineLevel="1" x14ac:dyDescent="0.25">
      <c r="B44" s="1361" t="s">
        <v>1240</v>
      </c>
      <c r="C44" s="478"/>
      <c r="D44" s="478"/>
      <c r="E44" s="477"/>
      <c r="F44" s="477"/>
      <c r="G44" s="1303"/>
      <c r="H44" s="478"/>
      <c r="I44" s="477"/>
      <c r="J44" s="477"/>
      <c r="K44" s="479"/>
    </row>
    <row r="45" spans="2:11" s="1279" customFormat="1" outlineLevel="1" x14ac:dyDescent="0.25">
      <c r="B45" s="1360" t="s">
        <v>1241</v>
      </c>
      <c r="C45" s="565"/>
      <c r="D45" s="565"/>
      <c r="E45" s="566"/>
      <c r="F45" s="566"/>
      <c r="G45" s="1301"/>
      <c r="H45" s="565"/>
      <c r="I45" s="566"/>
      <c r="J45" s="566"/>
      <c r="K45" s="567"/>
    </row>
    <row r="46" spans="2:11" s="1279" customFormat="1" outlineLevel="1" x14ac:dyDescent="0.25">
      <c r="B46" s="1361" t="s">
        <v>1242</v>
      </c>
      <c r="C46" s="478"/>
      <c r="D46" s="478"/>
      <c r="E46" s="477"/>
      <c r="F46" s="477"/>
      <c r="G46" s="1303"/>
      <c r="H46" s="478"/>
      <c r="I46" s="477"/>
      <c r="J46" s="477"/>
      <c r="K46" s="479"/>
    </row>
    <row r="47" spans="2:11" s="1279" customFormat="1" outlineLevel="1" x14ac:dyDescent="0.25">
      <c r="B47" s="1360" t="s">
        <v>1243</v>
      </c>
      <c r="C47" s="565"/>
      <c r="D47" s="565"/>
      <c r="E47" s="566"/>
      <c r="F47" s="566"/>
      <c r="G47" s="1301"/>
      <c r="H47" s="565"/>
      <c r="I47" s="566"/>
      <c r="J47" s="566"/>
      <c r="K47" s="567"/>
    </row>
    <row r="48" spans="2:11" s="1279" customFormat="1" outlineLevel="1" x14ac:dyDescent="0.25">
      <c r="B48" s="1361" t="s">
        <v>1244</v>
      </c>
      <c r="C48" s="478"/>
      <c r="D48" s="478"/>
      <c r="E48" s="477"/>
      <c r="F48" s="477"/>
      <c r="G48" s="1303"/>
      <c r="H48" s="478"/>
      <c r="I48" s="477"/>
      <c r="J48" s="477"/>
      <c r="K48" s="479"/>
    </row>
    <row r="49" spans="2:11" s="1279" customFormat="1" outlineLevel="1" x14ac:dyDescent="0.25">
      <c r="B49" s="1360" t="s">
        <v>1245</v>
      </c>
      <c r="C49" s="565"/>
      <c r="D49" s="565"/>
      <c r="E49" s="566"/>
      <c r="F49" s="566"/>
      <c r="G49" s="1301"/>
      <c r="H49" s="565"/>
      <c r="I49" s="566"/>
      <c r="J49" s="566"/>
      <c r="K49" s="567"/>
    </row>
    <row r="50" spans="2:11" s="1279" customFormat="1" outlineLevel="1" x14ac:dyDescent="0.25">
      <c r="B50" s="1361" t="s">
        <v>1246</v>
      </c>
      <c r="C50" s="478"/>
      <c r="D50" s="478"/>
      <c r="E50" s="477"/>
      <c r="F50" s="477"/>
      <c r="G50" s="1303"/>
      <c r="H50" s="478"/>
      <c r="I50" s="477"/>
      <c r="J50" s="477"/>
      <c r="K50" s="479"/>
    </row>
    <row r="51" spans="2:11" s="1279" customFormat="1" outlineLevel="1" x14ac:dyDescent="0.25">
      <c r="B51" s="1360" t="s">
        <v>1247</v>
      </c>
      <c r="C51" s="565"/>
      <c r="D51" s="565"/>
      <c r="E51" s="566"/>
      <c r="F51" s="566"/>
      <c r="G51" s="1301"/>
      <c r="H51" s="565"/>
      <c r="I51" s="566"/>
      <c r="J51" s="566"/>
      <c r="K51" s="567"/>
    </row>
    <row r="52" spans="2:11" s="1279" customFormat="1" outlineLevel="1" x14ac:dyDescent="0.25">
      <c r="B52" s="1361" t="s">
        <v>1248</v>
      </c>
      <c r="C52" s="478"/>
      <c r="D52" s="478"/>
      <c r="E52" s="477"/>
      <c r="F52" s="477"/>
      <c r="G52" s="1303"/>
      <c r="H52" s="478"/>
      <c r="I52" s="477"/>
      <c r="J52" s="477"/>
      <c r="K52" s="479"/>
    </row>
    <row r="53" spans="2:11" s="1279" customFormat="1" outlineLevel="1" x14ac:dyDescent="0.25">
      <c r="B53" s="1360" t="s">
        <v>1249</v>
      </c>
      <c r="C53" s="565"/>
      <c r="D53" s="565"/>
      <c r="E53" s="566"/>
      <c r="F53" s="566"/>
      <c r="G53" s="1301"/>
      <c r="H53" s="565"/>
      <c r="I53" s="566"/>
      <c r="J53" s="566"/>
      <c r="K53" s="567"/>
    </row>
    <row r="54" spans="2:11" s="1279" customFormat="1" outlineLevel="1" x14ac:dyDescent="0.25">
      <c r="B54" s="1361" t="s">
        <v>1250</v>
      </c>
      <c r="C54" s="478"/>
      <c r="D54" s="478"/>
      <c r="E54" s="477"/>
      <c r="F54" s="477"/>
      <c r="G54" s="1303"/>
      <c r="H54" s="478"/>
      <c r="I54" s="477"/>
      <c r="J54" s="477"/>
      <c r="K54" s="479"/>
    </row>
    <row r="55" spans="2:11" s="482" customFormat="1" outlineLevel="1" x14ac:dyDescent="0.25">
      <c r="B55" s="1360" t="s">
        <v>1251</v>
      </c>
      <c r="C55" s="565"/>
      <c r="D55" s="565"/>
      <c r="E55" s="566"/>
      <c r="F55" s="566"/>
      <c r="G55" s="1301"/>
      <c r="H55" s="565"/>
      <c r="I55" s="566"/>
      <c r="J55" s="566"/>
      <c r="K55" s="567"/>
    </row>
    <row r="56" spans="2:11" s="482" customFormat="1" outlineLevel="1" x14ac:dyDescent="0.25">
      <c r="B56" s="1361" t="s">
        <v>1252</v>
      </c>
      <c r="C56" s="478"/>
      <c r="D56" s="478"/>
      <c r="E56" s="477"/>
      <c r="F56" s="477"/>
      <c r="G56" s="1303"/>
      <c r="H56" s="478"/>
      <c r="I56" s="477"/>
      <c r="J56" s="477"/>
      <c r="K56" s="479"/>
    </row>
    <row r="57" spans="2:11" s="482" customFormat="1" outlineLevel="1" x14ac:dyDescent="0.25">
      <c r="B57" s="1360" t="s">
        <v>1253</v>
      </c>
      <c r="C57" s="565"/>
      <c r="D57" s="565"/>
      <c r="E57" s="566"/>
      <c r="F57" s="566"/>
      <c r="G57" s="1301"/>
      <c r="H57" s="565"/>
      <c r="I57" s="566"/>
      <c r="J57" s="566"/>
      <c r="K57" s="567"/>
    </row>
    <row r="58" spans="2:11" s="482" customFormat="1" outlineLevel="1" x14ac:dyDescent="0.25">
      <c r="B58" s="1361" t="s">
        <v>1254</v>
      </c>
      <c r="C58" s="478"/>
      <c r="D58" s="478"/>
      <c r="E58" s="477"/>
      <c r="F58" s="477"/>
      <c r="G58" s="1303"/>
      <c r="H58" s="478"/>
      <c r="I58" s="477"/>
      <c r="J58" s="477"/>
      <c r="K58" s="479"/>
    </row>
    <row r="59" spans="2:11" s="482" customFormat="1" outlineLevel="1" x14ac:dyDescent="0.25">
      <c r="B59" s="1360" t="s">
        <v>1255</v>
      </c>
      <c r="C59" s="565"/>
      <c r="D59" s="565"/>
      <c r="E59" s="566"/>
      <c r="F59" s="566"/>
      <c r="G59" s="1301"/>
      <c r="H59" s="565"/>
      <c r="I59" s="566"/>
      <c r="J59" s="566"/>
      <c r="K59" s="567"/>
    </row>
    <row r="60" spans="2:11" s="482" customFormat="1" outlineLevel="1" x14ac:dyDescent="0.25">
      <c r="B60" s="1361" t="s">
        <v>1256</v>
      </c>
      <c r="C60" s="478"/>
      <c r="D60" s="478"/>
      <c r="E60" s="477"/>
      <c r="F60" s="477"/>
      <c r="G60" s="1303"/>
      <c r="H60" s="478"/>
      <c r="I60" s="477"/>
      <c r="J60" s="477"/>
      <c r="K60" s="479"/>
    </row>
    <row r="61" spans="2:11" s="482" customFormat="1" outlineLevel="1" x14ac:dyDescent="0.25">
      <c r="B61" s="1360" t="s">
        <v>1257</v>
      </c>
      <c r="C61" s="565"/>
      <c r="D61" s="565"/>
      <c r="E61" s="566"/>
      <c r="F61" s="566"/>
      <c r="G61" s="1301"/>
      <c r="H61" s="565"/>
      <c r="I61" s="566"/>
      <c r="J61" s="566"/>
      <c r="K61" s="567"/>
    </row>
    <row r="62" spans="2:11" s="482" customFormat="1" outlineLevel="1" x14ac:dyDescent="0.25">
      <c r="B62" s="1361" t="s">
        <v>1258</v>
      </c>
      <c r="C62" s="478"/>
      <c r="D62" s="478"/>
      <c r="E62" s="477"/>
      <c r="F62" s="477"/>
      <c r="G62" s="1303"/>
      <c r="H62" s="478"/>
      <c r="I62" s="477"/>
      <c r="J62" s="477"/>
      <c r="K62" s="479"/>
    </row>
    <row r="63" spans="2:11" s="482" customFormat="1" outlineLevel="1" x14ac:dyDescent="0.25">
      <c r="B63" s="1360" t="s">
        <v>1259</v>
      </c>
      <c r="C63" s="565"/>
      <c r="D63" s="565"/>
      <c r="E63" s="566"/>
      <c r="F63" s="566"/>
      <c r="G63" s="1301"/>
      <c r="H63" s="565"/>
      <c r="I63" s="566"/>
      <c r="J63" s="566"/>
      <c r="K63" s="567"/>
    </row>
    <row r="64" spans="2:11" s="482" customFormat="1" outlineLevel="1" x14ac:dyDescent="0.25">
      <c r="B64" s="1361" t="s">
        <v>1260</v>
      </c>
      <c r="C64" s="478"/>
      <c r="D64" s="478"/>
      <c r="E64" s="477"/>
      <c r="F64" s="477"/>
      <c r="G64" s="1303"/>
      <c r="H64" s="478"/>
      <c r="I64" s="477"/>
      <c r="J64" s="477"/>
      <c r="K64" s="479"/>
    </row>
    <row r="65" spans="2:11" s="482" customFormat="1" outlineLevel="1" x14ac:dyDescent="0.25">
      <c r="B65" s="1360" t="s">
        <v>1261</v>
      </c>
      <c r="C65" s="565"/>
      <c r="D65" s="565"/>
      <c r="E65" s="566"/>
      <c r="F65" s="566"/>
      <c r="G65" s="1301"/>
      <c r="H65" s="565"/>
      <c r="I65" s="566"/>
      <c r="J65" s="566"/>
      <c r="K65" s="567"/>
    </row>
    <row r="66" spans="2:11" s="482" customFormat="1" outlineLevel="1" x14ac:dyDescent="0.25">
      <c r="B66" s="1361" t="s">
        <v>1262</v>
      </c>
      <c r="C66" s="478"/>
      <c r="D66" s="478"/>
      <c r="E66" s="477"/>
      <c r="F66" s="477"/>
      <c r="G66" s="1303"/>
      <c r="H66" s="478"/>
      <c r="I66" s="477"/>
      <c r="J66" s="477"/>
      <c r="K66" s="479"/>
    </row>
    <row r="67" spans="2:11" s="482" customFormat="1" outlineLevel="1" x14ac:dyDescent="0.25">
      <c r="B67" s="1360" t="s">
        <v>1263</v>
      </c>
      <c r="C67" s="565"/>
      <c r="D67" s="565"/>
      <c r="E67" s="566"/>
      <c r="F67" s="566"/>
      <c r="G67" s="1301"/>
      <c r="H67" s="565"/>
      <c r="I67" s="566"/>
      <c r="J67" s="566"/>
      <c r="K67" s="567"/>
    </row>
    <row r="68" spans="2:11" s="482" customFormat="1" outlineLevel="1" x14ac:dyDescent="0.25">
      <c r="B68" s="1361" t="s">
        <v>1264</v>
      </c>
      <c r="C68" s="478"/>
      <c r="D68" s="478"/>
      <c r="E68" s="477"/>
      <c r="F68" s="477"/>
      <c r="G68" s="1303"/>
      <c r="H68" s="478"/>
      <c r="I68" s="477"/>
      <c r="J68" s="477"/>
      <c r="K68" s="479"/>
    </row>
    <row r="69" spans="2:11" s="482" customFormat="1" outlineLevel="1" x14ac:dyDescent="0.25">
      <c r="B69" s="1360" t="s">
        <v>1265</v>
      </c>
      <c r="C69" s="565"/>
      <c r="D69" s="565"/>
      <c r="E69" s="566"/>
      <c r="F69" s="566"/>
      <c r="G69" s="1301"/>
      <c r="H69" s="565"/>
      <c r="I69" s="566"/>
      <c r="J69" s="566"/>
      <c r="K69" s="567"/>
    </row>
    <row r="70" spans="2:11" s="482" customFormat="1" outlineLevel="1" x14ac:dyDescent="0.25">
      <c r="B70" s="1361" t="s">
        <v>1266</v>
      </c>
      <c r="C70" s="478"/>
      <c r="D70" s="478"/>
      <c r="E70" s="477"/>
      <c r="F70" s="477"/>
      <c r="G70" s="1303"/>
      <c r="H70" s="478"/>
      <c r="I70" s="477"/>
      <c r="J70" s="477"/>
      <c r="K70" s="479"/>
    </row>
    <row r="71" spans="2:11" s="482" customFormat="1" outlineLevel="1" x14ac:dyDescent="0.25">
      <c r="B71" s="1360" t="s">
        <v>1267</v>
      </c>
      <c r="C71" s="565"/>
      <c r="D71" s="565"/>
      <c r="E71" s="566"/>
      <c r="F71" s="566"/>
      <c r="G71" s="1301"/>
      <c r="H71" s="565"/>
      <c r="I71" s="566"/>
      <c r="J71" s="566"/>
      <c r="K71" s="567"/>
    </row>
    <row r="72" spans="2:11" s="482" customFormat="1" outlineLevel="1" x14ac:dyDescent="0.25">
      <c r="B72" s="1361" t="s">
        <v>1268</v>
      </c>
      <c r="C72" s="478"/>
      <c r="D72" s="478"/>
      <c r="E72" s="477"/>
      <c r="F72" s="477"/>
      <c r="G72" s="1303"/>
      <c r="H72" s="478"/>
      <c r="I72" s="477"/>
      <c r="J72" s="477"/>
      <c r="K72" s="479"/>
    </row>
    <row r="73" spans="2:11" s="482" customFormat="1" outlineLevel="1" x14ac:dyDescent="0.25">
      <c r="B73" s="1360" t="s">
        <v>1269</v>
      </c>
      <c r="C73" s="565"/>
      <c r="D73" s="565"/>
      <c r="E73" s="566"/>
      <c r="F73" s="566"/>
      <c r="G73" s="1301"/>
      <c r="H73" s="565"/>
      <c r="I73" s="566"/>
      <c r="J73" s="566"/>
      <c r="K73" s="567"/>
    </row>
    <row r="74" spans="2:11" s="482" customFormat="1" outlineLevel="1" x14ac:dyDescent="0.25">
      <c r="B74" s="1361" t="s">
        <v>1270</v>
      </c>
      <c r="C74" s="478"/>
      <c r="D74" s="478"/>
      <c r="E74" s="477"/>
      <c r="F74" s="477"/>
      <c r="G74" s="1303"/>
      <c r="H74" s="478"/>
      <c r="I74" s="477"/>
      <c r="J74" s="477"/>
      <c r="K74" s="479"/>
    </row>
    <row r="75" spans="2:11" s="482" customFormat="1" outlineLevel="1" x14ac:dyDescent="0.25">
      <c r="B75" s="1360" t="s">
        <v>1271</v>
      </c>
      <c r="C75" s="565"/>
      <c r="D75" s="565"/>
      <c r="E75" s="566"/>
      <c r="F75" s="566"/>
      <c r="G75" s="1301"/>
      <c r="H75" s="565"/>
      <c r="I75" s="566"/>
      <c r="J75" s="566"/>
      <c r="K75" s="567"/>
    </row>
    <row r="76" spans="2:11" s="482" customFormat="1" outlineLevel="1" x14ac:dyDescent="0.25">
      <c r="B76" s="1361" t="s">
        <v>1272</v>
      </c>
      <c r="C76" s="478"/>
      <c r="D76" s="478"/>
      <c r="E76" s="477"/>
      <c r="F76" s="477"/>
      <c r="G76" s="1303"/>
      <c r="H76" s="478"/>
      <c r="I76" s="477"/>
      <c r="J76" s="477"/>
      <c r="K76" s="479"/>
    </row>
    <row r="77" spans="2:11" s="482" customFormat="1" outlineLevel="1" x14ac:dyDescent="0.25">
      <c r="B77" s="1360" t="s">
        <v>1273</v>
      </c>
      <c r="C77" s="565"/>
      <c r="D77" s="565"/>
      <c r="E77" s="566"/>
      <c r="F77" s="566"/>
      <c r="G77" s="1301"/>
      <c r="H77" s="565"/>
      <c r="I77" s="566"/>
      <c r="J77" s="566"/>
      <c r="K77" s="567"/>
    </row>
    <row r="78" spans="2:11" s="482" customFormat="1" outlineLevel="1" x14ac:dyDescent="0.25">
      <c r="B78" s="1361" t="s">
        <v>1274</v>
      </c>
      <c r="C78" s="478"/>
      <c r="D78" s="478"/>
      <c r="E78" s="477"/>
      <c r="F78" s="477"/>
      <c r="G78" s="1303"/>
      <c r="H78" s="478"/>
      <c r="I78" s="477"/>
      <c r="J78" s="477"/>
      <c r="K78" s="479"/>
    </row>
    <row r="79" spans="2:11" s="482" customFormat="1" outlineLevel="1" x14ac:dyDescent="0.25">
      <c r="B79" s="1360" t="s">
        <v>1275</v>
      </c>
      <c r="C79" s="565"/>
      <c r="D79" s="565"/>
      <c r="E79" s="566"/>
      <c r="F79" s="566"/>
      <c r="G79" s="1301"/>
      <c r="H79" s="565"/>
      <c r="I79" s="566"/>
      <c r="J79" s="566"/>
      <c r="K79" s="567"/>
    </row>
    <row r="80" spans="2:11" s="482" customFormat="1" outlineLevel="1" x14ac:dyDescent="0.25">
      <c r="B80" s="1361" t="s">
        <v>1276</v>
      </c>
      <c r="C80" s="478"/>
      <c r="D80" s="478"/>
      <c r="E80" s="477"/>
      <c r="F80" s="477"/>
      <c r="G80" s="1303"/>
      <c r="H80" s="478"/>
      <c r="I80" s="477"/>
      <c r="J80" s="477"/>
      <c r="K80" s="479"/>
    </row>
    <row r="81" spans="2:11" s="482" customFormat="1" outlineLevel="1" x14ac:dyDescent="0.25">
      <c r="B81" s="1360" t="s">
        <v>1277</v>
      </c>
      <c r="C81" s="565"/>
      <c r="D81" s="565"/>
      <c r="E81" s="566"/>
      <c r="F81" s="566"/>
      <c r="G81" s="1301"/>
      <c r="H81" s="565"/>
      <c r="I81" s="566"/>
      <c r="J81" s="566"/>
      <c r="K81" s="567"/>
    </row>
    <row r="82" spans="2:11" s="482" customFormat="1" outlineLevel="1" x14ac:dyDescent="0.25">
      <c r="B82" s="1361" t="s">
        <v>1278</v>
      </c>
      <c r="C82" s="478"/>
      <c r="D82" s="478"/>
      <c r="E82" s="477"/>
      <c r="F82" s="477"/>
      <c r="G82" s="1303"/>
      <c r="H82" s="478"/>
      <c r="I82" s="477"/>
      <c r="J82" s="477"/>
      <c r="K82" s="479"/>
    </row>
    <row r="83" spans="2:11" s="482" customFormat="1" outlineLevel="1" x14ac:dyDescent="0.25">
      <c r="B83" s="1360" t="s">
        <v>1279</v>
      </c>
      <c r="C83" s="565"/>
      <c r="D83" s="565"/>
      <c r="E83" s="566"/>
      <c r="F83" s="566"/>
      <c r="G83" s="1301"/>
      <c r="H83" s="565"/>
      <c r="I83" s="566"/>
      <c r="J83" s="566"/>
      <c r="K83" s="567"/>
    </row>
    <row r="84" spans="2:11" s="482" customFormat="1" outlineLevel="1" x14ac:dyDescent="0.25">
      <c r="B84" s="1361" t="s">
        <v>1280</v>
      </c>
      <c r="C84" s="478"/>
      <c r="D84" s="478"/>
      <c r="E84" s="477"/>
      <c r="F84" s="477"/>
      <c r="G84" s="1303"/>
      <c r="H84" s="478"/>
      <c r="I84" s="477"/>
      <c r="J84" s="477"/>
      <c r="K84" s="479"/>
    </row>
    <row r="85" spans="2:11" s="482" customFormat="1" outlineLevel="1" x14ac:dyDescent="0.25">
      <c r="B85" s="1360" t="s">
        <v>1281</v>
      </c>
      <c r="C85" s="565"/>
      <c r="D85" s="565"/>
      <c r="E85" s="566"/>
      <c r="F85" s="566"/>
      <c r="G85" s="1301"/>
      <c r="H85" s="565"/>
      <c r="I85" s="566"/>
      <c r="J85" s="566"/>
      <c r="K85" s="567"/>
    </row>
    <row r="86" spans="2:11" s="482" customFormat="1" outlineLevel="1" x14ac:dyDescent="0.25">
      <c r="B86" s="1361" t="s">
        <v>1282</v>
      </c>
      <c r="C86" s="478"/>
      <c r="D86" s="478"/>
      <c r="E86" s="477"/>
      <c r="F86" s="477"/>
      <c r="G86" s="1303"/>
      <c r="H86" s="478"/>
      <c r="I86" s="477"/>
      <c r="J86" s="477"/>
      <c r="K86" s="479"/>
    </row>
    <row r="87" spans="2:11" s="482" customFormat="1" outlineLevel="1" x14ac:dyDescent="0.25">
      <c r="B87" s="1360" t="s">
        <v>1283</v>
      </c>
      <c r="C87" s="565"/>
      <c r="D87" s="565"/>
      <c r="E87" s="566"/>
      <c r="F87" s="566"/>
      <c r="G87" s="1301"/>
      <c r="H87" s="565"/>
      <c r="I87" s="566"/>
      <c r="J87" s="566"/>
      <c r="K87" s="567"/>
    </row>
    <row r="88" spans="2:11" s="482" customFormat="1" outlineLevel="1" x14ac:dyDescent="0.25">
      <c r="B88" s="1361" t="s">
        <v>1284</v>
      </c>
      <c r="C88" s="478"/>
      <c r="D88" s="478"/>
      <c r="E88" s="477"/>
      <c r="F88" s="477"/>
      <c r="G88" s="1303"/>
      <c r="H88" s="478"/>
      <c r="I88" s="477"/>
      <c r="J88" s="477"/>
      <c r="K88" s="479"/>
    </row>
    <row r="89" spans="2:11" s="482" customFormat="1" outlineLevel="1" x14ac:dyDescent="0.25">
      <c r="B89" s="1360" t="s">
        <v>1285</v>
      </c>
      <c r="C89" s="565"/>
      <c r="D89" s="565"/>
      <c r="E89" s="566"/>
      <c r="F89" s="566"/>
      <c r="G89" s="1301"/>
      <c r="H89" s="565"/>
      <c r="I89" s="566"/>
      <c r="J89" s="566"/>
      <c r="K89" s="567"/>
    </row>
    <row r="90" spans="2:11" s="482" customFormat="1" outlineLevel="1" x14ac:dyDescent="0.25">
      <c r="B90" s="1361" t="s">
        <v>1286</v>
      </c>
      <c r="C90" s="478"/>
      <c r="D90" s="478"/>
      <c r="E90" s="477"/>
      <c r="F90" s="477"/>
      <c r="G90" s="1303"/>
      <c r="H90" s="478"/>
      <c r="I90" s="477"/>
      <c r="J90" s="477"/>
      <c r="K90" s="479"/>
    </row>
    <row r="91" spans="2:11" s="482" customFormat="1" outlineLevel="1" x14ac:dyDescent="0.25">
      <c r="B91" s="1360" t="s">
        <v>1287</v>
      </c>
      <c r="C91" s="565"/>
      <c r="D91" s="565"/>
      <c r="E91" s="566"/>
      <c r="F91" s="566"/>
      <c r="G91" s="1301"/>
      <c r="H91" s="565"/>
      <c r="I91" s="566"/>
      <c r="J91" s="566"/>
      <c r="K91" s="567"/>
    </row>
    <row r="92" spans="2:11" s="482" customFormat="1" outlineLevel="1" x14ac:dyDescent="0.25">
      <c r="B92" s="1361" t="s">
        <v>1288</v>
      </c>
      <c r="C92" s="478"/>
      <c r="D92" s="478"/>
      <c r="E92" s="477"/>
      <c r="F92" s="477"/>
      <c r="G92" s="1303"/>
      <c r="H92" s="478"/>
      <c r="I92" s="477"/>
      <c r="J92" s="477"/>
      <c r="K92" s="479"/>
    </row>
    <row r="93" spans="2:11" s="482" customFormat="1" outlineLevel="1" x14ac:dyDescent="0.25">
      <c r="B93" s="1360" t="s">
        <v>1289</v>
      </c>
      <c r="C93" s="565"/>
      <c r="D93" s="565"/>
      <c r="E93" s="566"/>
      <c r="F93" s="566"/>
      <c r="G93" s="1301"/>
      <c r="H93" s="565"/>
      <c r="I93" s="566"/>
      <c r="J93" s="566"/>
      <c r="K93" s="567"/>
    </row>
    <row r="94" spans="2:11" s="482" customFormat="1" ht="15.75" outlineLevel="1" thickBot="1" x14ac:dyDescent="0.3">
      <c r="B94" s="1361" t="s">
        <v>1290</v>
      </c>
      <c r="C94" s="351"/>
      <c r="D94" s="351"/>
      <c r="E94" s="337"/>
      <c r="F94" s="337"/>
      <c r="G94" s="352"/>
      <c r="H94" s="351"/>
      <c r="I94" s="337"/>
      <c r="J94" s="337"/>
      <c r="K94" s="338"/>
    </row>
    <row r="95" spans="2:11" customFormat="1" x14ac:dyDescent="0.25">
      <c r="D95" s="1294"/>
    </row>
  </sheetData>
  <mergeCells count="4">
    <mergeCell ref="C17:K17"/>
    <mergeCell ref="C18:K18"/>
    <mergeCell ref="C7:K7"/>
    <mergeCell ref="C8:K8"/>
  </mergeCells>
  <dataValidations xWindow="77" yWindow="489" count="1">
    <dataValidation allowBlank="1" showInputMessage="1" showErrorMessage="1" promptTitle="Tariff" prompt="Enter relevant tariff names here" sqref="B10:B12 B20:B94"/>
  </dataValidations>
  <pageMargins left="0.7" right="0.7" top="0.75" bottom="0.75" header="0.3" footer="0.3"/>
  <pageSetup paperSize="9" orientation="portrait" r:id="rId1"/>
  <customProperties>
    <customPr name="_pios_id" r:id="rId2"/>
    <customPr name="EpmWorksheetKeyString_GUID" r:id="rId3"/>
  </customPropertie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tint="-0.249977111117893"/>
  </sheetPr>
  <dimension ref="A1:M129"/>
  <sheetViews>
    <sheetView showGridLines="0" zoomScale="80" zoomScaleNormal="80" workbookViewId="0">
      <selection activeCell="A2" sqref="A2"/>
    </sheetView>
  </sheetViews>
  <sheetFormatPr defaultColWidth="9.140625" defaultRowHeight="15" outlineLevelRow="2" x14ac:dyDescent="0.25"/>
  <cols>
    <col min="1" max="1" width="22.7109375" style="401" customWidth="1"/>
    <col min="2" max="2" width="13.85546875" style="401" customWidth="1"/>
    <col min="3" max="3" width="52" style="521" customWidth="1"/>
    <col min="4" max="9" width="20.7109375" style="401" customWidth="1"/>
    <col min="10" max="10" width="20.7109375" style="1294" customWidth="1"/>
    <col min="11" max="12" width="20.7109375" style="401" customWidth="1"/>
    <col min="13" max="16384" width="9.140625" style="401"/>
  </cols>
  <sheetData>
    <row r="1" spans="1:13" ht="30" customHeight="1" x14ac:dyDescent="0.25">
      <c r="B1" s="103" t="str">
        <f>IF(dms_MultiYear_ResponseFlag="Yes","REGULATORY REPORTING STATEMENT - HISTORICAL INFORMATION",INDEX(dms_Worksheet_List,MATCH(dms_Model,dms_Model_List)))</f>
        <v>REGULATORY REPORTING STATEMENT - HISTORICAL INFORMATION</v>
      </c>
      <c r="C1" s="103"/>
      <c r="D1" s="76"/>
      <c r="E1" s="76"/>
      <c r="F1" s="76"/>
      <c r="G1" s="76"/>
      <c r="H1" s="76"/>
      <c r="I1" s="76"/>
      <c r="J1" s="76"/>
      <c r="K1" s="76"/>
      <c r="L1" s="76"/>
    </row>
    <row r="2" spans="1:13" ht="30" customHeight="1" x14ac:dyDescent="0.25">
      <c r="B2" s="103" t="str">
        <f>INDEX(dms_TradingNameFull_List,MATCH(dms_TradingName,dms_TradingName_List))</f>
        <v>AusNet Gas Services</v>
      </c>
      <c r="C2" s="103"/>
      <c r="D2" s="76"/>
      <c r="E2" s="76"/>
      <c r="F2" s="76"/>
      <c r="G2" s="76"/>
      <c r="H2" s="76"/>
      <c r="I2" s="76"/>
      <c r="J2" s="76"/>
      <c r="K2" s="76"/>
      <c r="L2" s="76"/>
    </row>
    <row r="3" spans="1:13" ht="30" customHeight="1" x14ac:dyDescent="0.25">
      <c r="B3" s="103" t="str">
        <f>CONCATENATE(CRY," to ",dms_MultiYear_FinalYear_Result)</f>
        <v>2011 to 2019</v>
      </c>
      <c r="C3" s="103"/>
      <c r="D3" s="76"/>
      <c r="E3" s="76"/>
      <c r="F3" s="76"/>
      <c r="G3" s="76"/>
      <c r="H3" s="76"/>
      <c r="I3" s="76"/>
      <c r="J3" s="76"/>
      <c r="K3" s="76"/>
      <c r="L3" s="76"/>
    </row>
    <row r="4" spans="1:13" ht="30" customHeight="1" x14ac:dyDescent="0.25">
      <c r="B4" s="83" t="s">
        <v>733</v>
      </c>
      <c r="C4" s="83"/>
      <c r="D4" s="323"/>
      <c r="E4" s="323"/>
      <c r="F4" s="323"/>
      <c r="G4" s="323"/>
      <c r="H4" s="323"/>
      <c r="I4" s="323"/>
      <c r="J4" s="323"/>
      <c r="K4" s="323"/>
      <c r="L4" s="323"/>
    </row>
    <row r="5" spans="1:13" ht="15.75" thickBot="1" x14ac:dyDescent="0.3"/>
    <row r="6" spans="1:13" s="487" customFormat="1" ht="24.95" customHeight="1" thickBot="1" x14ac:dyDescent="0.3">
      <c r="A6" s="400"/>
      <c r="B6" s="84" t="s">
        <v>807</v>
      </c>
      <c r="C6" s="84"/>
      <c r="D6" s="84"/>
      <c r="E6" s="84"/>
      <c r="F6" s="84"/>
      <c r="G6" s="84"/>
      <c r="H6" s="84"/>
      <c r="I6" s="84"/>
      <c r="J6" s="84"/>
      <c r="K6" s="84"/>
      <c r="L6" s="84"/>
    </row>
    <row r="7" spans="1:13" s="91" customFormat="1" ht="15" customHeight="1" outlineLevel="1" x14ac:dyDescent="0.25">
      <c r="A7" s="493"/>
      <c r="B7" s="403"/>
      <c r="C7" s="476"/>
      <c r="D7" s="1669" t="s">
        <v>1212</v>
      </c>
      <c r="E7" s="1670"/>
      <c r="F7" s="1670"/>
      <c r="G7" s="1670"/>
      <c r="H7" s="1670"/>
      <c r="I7" s="1670"/>
      <c r="J7" s="1670"/>
      <c r="K7" s="1670"/>
      <c r="L7" s="1671"/>
      <c r="M7" s="487"/>
    </row>
    <row r="8" spans="1:13" s="91" customFormat="1" ht="15" customHeight="1" outlineLevel="1" x14ac:dyDescent="0.25">
      <c r="A8" s="493"/>
      <c r="B8" s="315"/>
      <c r="C8" s="116"/>
      <c r="D8" s="1672" t="s">
        <v>711</v>
      </c>
      <c r="E8" s="1673"/>
      <c r="F8" s="1673"/>
      <c r="G8" s="1673"/>
      <c r="H8" s="1673"/>
      <c r="I8" s="1673"/>
      <c r="J8" s="1673"/>
      <c r="K8" s="1673"/>
      <c r="L8" s="1674"/>
      <c r="M8" s="487"/>
    </row>
    <row r="9" spans="1:13" s="91" customFormat="1" ht="22.5" customHeight="1" outlineLevel="1" thickBot="1" x14ac:dyDescent="0.3">
      <c r="A9" s="399"/>
      <c r="B9" s="130"/>
      <c r="C9" s="452"/>
      <c r="D9" s="424">
        <f ca="1">dms_y1</f>
        <v>2011</v>
      </c>
      <c r="E9" s="425">
        <f ca="1">dms_y2</f>
        <v>2012</v>
      </c>
      <c r="F9" s="425">
        <f ca="1">dms_y3</f>
        <v>2013</v>
      </c>
      <c r="G9" s="425">
        <f ca="1">dms_y4</f>
        <v>2014</v>
      </c>
      <c r="H9" s="425">
        <f ca="1">dms_y5</f>
        <v>2015</v>
      </c>
      <c r="I9" s="426">
        <f ca="1">dms_y6</f>
        <v>2016</v>
      </c>
      <c r="J9" s="426">
        <f ca="1">dms_y7</f>
        <v>2017</v>
      </c>
      <c r="K9" s="426">
        <f ca="1">dms_y8</f>
        <v>2018</v>
      </c>
      <c r="L9" s="427">
        <f ca="1">dms_y9</f>
        <v>2019</v>
      </c>
      <c r="M9" s="487"/>
    </row>
    <row r="10" spans="1:13" s="462" customFormat="1" ht="24.95" customHeight="1" outlineLevel="1" x14ac:dyDescent="0.25">
      <c r="A10" s="494"/>
      <c r="B10" s="495" t="s">
        <v>808</v>
      </c>
      <c r="C10" s="496"/>
      <c r="D10" s="496"/>
      <c r="E10" s="496"/>
      <c r="F10" s="496"/>
      <c r="G10" s="496"/>
      <c r="H10" s="496"/>
      <c r="I10" s="496"/>
      <c r="J10" s="496"/>
      <c r="K10" s="496"/>
      <c r="L10" s="497"/>
      <c r="M10" s="487"/>
    </row>
    <row r="11" spans="1:13" s="462" customFormat="1" outlineLevel="2" x14ac:dyDescent="0.25">
      <c r="A11" s="494"/>
      <c r="B11" s="467"/>
      <c r="C11" s="562" t="s">
        <v>712</v>
      </c>
      <c r="D11" s="1404">
        <v>549.20000000000005</v>
      </c>
      <c r="E11" s="1396">
        <v>467.2</v>
      </c>
      <c r="F11" s="1396">
        <v>395.7</v>
      </c>
      <c r="G11" s="1396">
        <v>327.5</v>
      </c>
      <c r="H11" s="1405">
        <v>264.79000000000002</v>
      </c>
      <c r="I11" s="1404">
        <v>227.69</v>
      </c>
      <c r="J11" s="1406">
        <v>177.6</v>
      </c>
      <c r="K11" s="1396">
        <v>145.15899999999999</v>
      </c>
      <c r="L11" s="1397">
        <v>117.679</v>
      </c>
      <c r="M11" s="487"/>
    </row>
    <row r="12" spans="1:13" s="462" customFormat="1" outlineLevel="2" x14ac:dyDescent="0.25">
      <c r="A12" s="494"/>
      <c r="B12" s="463"/>
      <c r="C12" s="560" t="s">
        <v>713</v>
      </c>
      <c r="D12" s="1404">
        <v>529.29999999999995</v>
      </c>
      <c r="E12" s="1396">
        <v>504.25</v>
      </c>
      <c r="F12" s="1396">
        <v>486.09</v>
      </c>
      <c r="G12" s="1396">
        <v>445.19</v>
      </c>
      <c r="H12" s="1405">
        <v>418.3</v>
      </c>
      <c r="I12" s="1404">
        <v>400.12</v>
      </c>
      <c r="J12" s="1406">
        <v>360.73599999999999</v>
      </c>
      <c r="K12" s="1396">
        <v>327.42899999999997</v>
      </c>
      <c r="L12" s="1397">
        <v>290.28899000000001</v>
      </c>
      <c r="M12" s="487"/>
    </row>
    <row r="13" spans="1:13" s="462" customFormat="1" outlineLevel="2" x14ac:dyDescent="0.25">
      <c r="A13" s="494"/>
      <c r="B13" s="463"/>
      <c r="C13" s="560" t="s">
        <v>714</v>
      </c>
      <c r="D13" s="1404">
        <v>0</v>
      </c>
      <c r="E13" s="1396">
        <v>0</v>
      </c>
      <c r="F13" s="1396">
        <v>0</v>
      </c>
      <c r="G13" s="1396">
        <v>0</v>
      </c>
      <c r="H13" s="1405">
        <v>0</v>
      </c>
      <c r="I13" s="1404">
        <v>0</v>
      </c>
      <c r="J13" s="1406">
        <v>0</v>
      </c>
      <c r="K13" s="1396">
        <v>0</v>
      </c>
      <c r="L13" s="1397">
        <v>0</v>
      </c>
      <c r="M13" s="487"/>
    </row>
    <row r="14" spans="1:13" s="462" customFormat="1" outlineLevel="2" x14ac:dyDescent="0.25">
      <c r="A14" s="494"/>
      <c r="B14" s="463"/>
      <c r="C14" s="560" t="s">
        <v>715</v>
      </c>
      <c r="D14" s="1404">
        <v>6.6</v>
      </c>
      <c r="E14" s="1396">
        <v>7.02</v>
      </c>
      <c r="F14" s="1396">
        <v>7.3</v>
      </c>
      <c r="G14" s="1396">
        <v>7.069</v>
      </c>
      <c r="H14" s="1405">
        <v>7</v>
      </c>
      <c r="I14" s="1404">
        <v>6.96</v>
      </c>
      <c r="J14" s="1406">
        <v>6.78</v>
      </c>
      <c r="K14" s="1396">
        <v>6.3179999999999996</v>
      </c>
      <c r="L14" s="1397">
        <v>6.165</v>
      </c>
      <c r="M14" s="487"/>
    </row>
    <row r="15" spans="1:13" s="462" customFormat="1" outlineLevel="2" x14ac:dyDescent="0.25">
      <c r="A15" s="494"/>
      <c r="B15" s="463"/>
      <c r="C15" s="560" t="s">
        <v>716</v>
      </c>
      <c r="D15" s="1404">
        <v>8.9999999999999998E-4</v>
      </c>
      <c r="E15" s="1396">
        <v>9.0000000000000006E-5</v>
      </c>
      <c r="F15" s="1396">
        <v>8.9999999999999998E-4</v>
      </c>
      <c r="G15" s="1396">
        <v>8.9999999999999998E-4</v>
      </c>
      <c r="H15" s="1405">
        <v>0.318</v>
      </c>
      <c r="I15" s="1404">
        <v>0.84</v>
      </c>
      <c r="J15" s="1406">
        <v>1.28</v>
      </c>
      <c r="K15" s="1396">
        <v>1.327</v>
      </c>
      <c r="L15" s="1397">
        <v>1.5996999999999999</v>
      </c>
      <c r="M15" s="487"/>
    </row>
    <row r="16" spans="1:13" s="462" customFormat="1" outlineLevel="2" x14ac:dyDescent="0.25">
      <c r="A16" s="494"/>
      <c r="B16" s="463"/>
      <c r="C16" s="560" t="s">
        <v>717</v>
      </c>
      <c r="D16" s="1404">
        <v>0</v>
      </c>
      <c r="E16" s="1396">
        <v>0</v>
      </c>
      <c r="F16" s="1396">
        <v>0</v>
      </c>
      <c r="G16" s="1396">
        <v>0</v>
      </c>
      <c r="H16" s="1405">
        <v>0</v>
      </c>
      <c r="I16" s="1404">
        <v>0</v>
      </c>
      <c r="J16" s="1406">
        <v>0</v>
      </c>
      <c r="K16" s="1396">
        <v>0</v>
      </c>
      <c r="L16" s="1397">
        <v>0</v>
      </c>
      <c r="M16" s="487"/>
    </row>
    <row r="17" spans="1:13" s="462" customFormat="1" outlineLevel="2" x14ac:dyDescent="0.25">
      <c r="A17" s="494"/>
      <c r="B17" s="463"/>
      <c r="C17" s="560" t="s">
        <v>718</v>
      </c>
      <c r="D17" s="1404">
        <v>6.07</v>
      </c>
      <c r="E17" s="1396">
        <v>5.62</v>
      </c>
      <c r="F17" s="1396">
        <v>5.2329999999999997</v>
      </c>
      <c r="G17" s="1396">
        <v>5.13</v>
      </c>
      <c r="H17" s="1405">
        <v>4.95</v>
      </c>
      <c r="I17" s="1404">
        <v>4.8499999999999996</v>
      </c>
      <c r="J17" s="1406">
        <v>4.8099999999999996</v>
      </c>
      <c r="K17" s="1396">
        <v>4.3266</v>
      </c>
      <c r="L17" s="1397">
        <v>4.17</v>
      </c>
      <c r="M17" s="487"/>
    </row>
    <row r="18" spans="1:13" s="462" customFormat="1" outlineLevel="2" x14ac:dyDescent="0.25">
      <c r="A18" s="494"/>
      <c r="B18" s="463"/>
      <c r="C18" s="560" t="s">
        <v>719</v>
      </c>
      <c r="D18" s="1404">
        <v>0</v>
      </c>
      <c r="E18" s="1396">
        <v>0</v>
      </c>
      <c r="F18" s="1396">
        <v>0</v>
      </c>
      <c r="G18" s="1396">
        <v>0</v>
      </c>
      <c r="H18" s="1405">
        <v>0</v>
      </c>
      <c r="I18" s="1404">
        <v>0</v>
      </c>
      <c r="J18" s="1406">
        <v>0</v>
      </c>
      <c r="K18" s="1396">
        <v>0</v>
      </c>
      <c r="L18" s="1397">
        <v>0</v>
      </c>
      <c r="M18" s="487"/>
    </row>
    <row r="19" spans="1:13" s="462" customFormat="1" outlineLevel="2" x14ac:dyDescent="0.25">
      <c r="A19" s="494"/>
      <c r="B19" s="463"/>
      <c r="C19" s="560" t="s">
        <v>781</v>
      </c>
      <c r="D19" s="1404">
        <v>0.11700000000000001</v>
      </c>
      <c r="E19" s="1396">
        <v>0.11</v>
      </c>
      <c r="F19" s="1396">
        <v>0.11</v>
      </c>
      <c r="G19" s="1396">
        <v>0.11700000000000001</v>
      </c>
      <c r="H19" s="1405">
        <v>0.11</v>
      </c>
      <c r="I19" s="1404">
        <v>0.11</v>
      </c>
      <c r="J19" s="1406">
        <v>0.11749999999999999</v>
      </c>
      <c r="K19" s="1396">
        <v>4.4000000000000003E-3</v>
      </c>
      <c r="L19" s="1397">
        <v>4.3999999999999997E-2</v>
      </c>
      <c r="M19" s="521"/>
    </row>
    <row r="20" spans="1:13" s="462" customFormat="1" outlineLevel="2" x14ac:dyDescent="0.25">
      <c r="A20" s="494"/>
      <c r="B20" s="463"/>
      <c r="C20" s="560" t="s">
        <v>720</v>
      </c>
      <c r="D20" s="1404">
        <v>81.3</v>
      </c>
      <c r="E20" s="1396">
        <v>70.36</v>
      </c>
      <c r="F20" s="1396">
        <v>57.19</v>
      </c>
      <c r="G20" s="1396">
        <v>49.53</v>
      </c>
      <c r="H20" s="1405">
        <v>44.79</v>
      </c>
      <c r="I20" s="1404">
        <v>38.6</v>
      </c>
      <c r="J20" s="1406">
        <v>28.96</v>
      </c>
      <c r="K20" s="1396">
        <v>24.032889000000001</v>
      </c>
      <c r="L20" s="1397">
        <v>18.57</v>
      </c>
      <c r="M20" s="487"/>
    </row>
    <row r="21" spans="1:13" s="462" customFormat="1" outlineLevel="2" x14ac:dyDescent="0.25">
      <c r="A21" s="494"/>
      <c r="B21" s="463"/>
      <c r="C21" s="560" t="s">
        <v>721</v>
      </c>
      <c r="D21" s="1404">
        <v>41.26</v>
      </c>
      <c r="E21" s="1396">
        <v>37.76</v>
      </c>
      <c r="F21" s="1396">
        <v>34.22</v>
      </c>
      <c r="G21" s="1396">
        <v>28.2</v>
      </c>
      <c r="H21" s="1405">
        <v>24.24</v>
      </c>
      <c r="I21" s="1404">
        <v>21.6</v>
      </c>
      <c r="J21" s="1406">
        <v>17.73</v>
      </c>
      <c r="K21" s="1396">
        <v>14.3706</v>
      </c>
      <c r="L21" s="1397">
        <v>10.46</v>
      </c>
      <c r="M21" s="487"/>
    </row>
    <row r="22" spans="1:13" s="462" customFormat="1" ht="15.75" outlineLevel="2" thickBot="1" x14ac:dyDescent="0.3">
      <c r="A22" s="494"/>
      <c r="B22" s="557"/>
      <c r="C22" s="561" t="s">
        <v>223</v>
      </c>
      <c r="D22" s="1399">
        <v>29.45</v>
      </c>
      <c r="E22" s="1400">
        <v>28.68</v>
      </c>
      <c r="F22" s="1400">
        <v>28.45</v>
      </c>
      <c r="G22" s="1400">
        <v>28.25</v>
      </c>
      <c r="H22" s="1401">
        <v>28.17</v>
      </c>
      <c r="I22" s="1399">
        <v>28.17</v>
      </c>
      <c r="J22" s="1402">
        <v>27.92</v>
      </c>
      <c r="K22" s="1400">
        <v>27.233799999999999</v>
      </c>
      <c r="L22" s="1403">
        <v>26.99</v>
      </c>
      <c r="M22" s="487"/>
    </row>
    <row r="23" spans="1:13" s="462" customFormat="1" ht="24.95" customHeight="1" outlineLevel="1" x14ac:dyDescent="0.25">
      <c r="A23" s="494"/>
      <c r="B23" s="495" t="s">
        <v>809</v>
      </c>
      <c r="C23" s="496"/>
      <c r="D23" s="496"/>
      <c r="E23" s="496"/>
      <c r="F23" s="496"/>
      <c r="G23" s="496"/>
      <c r="H23" s="496"/>
      <c r="I23" s="496"/>
      <c r="J23" s="496"/>
      <c r="K23" s="496"/>
      <c r="L23" s="497"/>
      <c r="M23" s="487"/>
    </row>
    <row r="24" spans="1:13" s="462" customFormat="1" outlineLevel="2" x14ac:dyDescent="0.25">
      <c r="A24" s="494"/>
      <c r="B24" s="467"/>
      <c r="C24" s="562" t="s">
        <v>712</v>
      </c>
      <c r="D24" s="1404">
        <v>18.899999999999999</v>
      </c>
      <c r="E24" s="1396">
        <v>18.899999999999999</v>
      </c>
      <c r="F24" s="1396">
        <v>18.899999999999999</v>
      </c>
      <c r="G24" s="1396">
        <v>13.4</v>
      </c>
      <c r="H24" s="1405">
        <v>9.33</v>
      </c>
      <c r="I24" s="1404">
        <v>3.3879999999999999</v>
      </c>
      <c r="J24" s="1406">
        <v>1.65</v>
      </c>
      <c r="K24" s="1396">
        <v>1.4497</v>
      </c>
      <c r="L24" s="1397">
        <v>0.67100000000000004</v>
      </c>
      <c r="M24" s="487"/>
    </row>
    <row r="25" spans="1:13" s="462" customFormat="1" outlineLevel="2" x14ac:dyDescent="0.25">
      <c r="A25" s="494"/>
      <c r="B25" s="463"/>
      <c r="C25" s="560" t="s">
        <v>713</v>
      </c>
      <c r="D25" s="1404">
        <v>7.0000000000000001E-3</v>
      </c>
      <c r="E25" s="1396">
        <v>7.0000000000000001E-3</v>
      </c>
      <c r="F25" s="1396">
        <v>7.0000000000000001E-3</v>
      </c>
      <c r="G25" s="1396">
        <v>7.0000000000000001E-3</v>
      </c>
      <c r="H25" s="1405">
        <v>7.0000000000000001E-3</v>
      </c>
      <c r="I25" s="1404">
        <v>0</v>
      </c>
      <c r="J25" s="1406">
        <v>0</v>
      </c>
      <c r="K25" s="1396">
        <v>0</v>
      </c>
      <c r="L25" s="1397">
        <v>0</v>
      </c>
      <c r="M25" s="487"/>
    </row>
    <row r="26" spans="1:13" s="462" customFormat="1" outlineLevel="2" x14ac:dyDescent="0.25">
      <c r="A26" s="494"/>
      <c r="B26" s="463"/>
      <c r="C26" s="560" t="s">
        <v>714</v>
      </c>
      <c r="D26" s="1404">
        <v>0</v>
      </c>
      <c r="E26" s="1396">
        <v>0</v>
      </c>
      <c r="F26" s="1396">
        <v>0</v>
      </c>
      <c r="G26" s="1396">
        <v>0</v>
      </c>
      <c r="H26" s="1405">
        <v>0</v>
      </c>
      <c r="I26" s="1404">
        <v>0</v>
      </c>
      <c r="J26" s="1406">
        <v>0</v>
      </c>
      <c r="K26" s="1396">
        <v>0</v>
      </c>
      <c r="L26" s="1397">
        <v>0</v>
      </c>
      <c r="M26" s="487"/>
    </row>
    <row r="27" spans="1:13" s="462" customFormat="1" outlineLevel="2" x14ac:dyDescent="0.25">
      <c r="A27" s="494"/>
      <c r="B27" s="463"/>
      <c r="C27" s="560" t="s">
        <v>715</v>
      </c>
      <c r="D27" s="1404">
        <v>15.6</v>
      </c>
      <c r="E27" s="1396">
        <v>15.99</v>
      </c>
      <c r="F27" s="1396">
        <v>17.02</v>
      </c>
      <c r="G27" s="1396">
        <v>17</v>
      </c>
      <c r="H27" s="1405">
        <v>17.2</v>
      </c>
      <c r="I27" s="1404">
        <v>17.12</v>
      </c>
      <c r="J27" s="1406">
        <v>17.093699999999998</v>
      </c>
      <c r="K27" s="1396">
        <v>17.093699999999998</v>
      </c>
      <c r="L27" s="1397">
        <v>17.05</v>
      </c>
      <c r="M27" s="487"/>
    </row>
    <row r="28" spans="1:13" s="462" customFormat="1" outlineLevel="2" x14ac:dyDescent="0.25">
      <c r="A28" s="494"/>
      <c r="B28" s="463"/>
      <c r="C28" s="560" t="s">
        <v>716</v>
      </c>
      <c r="D28" s="1404">
        <v>0</v>
      </c>
      <c r="E28" s="1396">
        <v>0</v>
      </c>
      <c r="F28" s="1396">
        <v>0</v>
      </c>
      <c r="G28" s="1396">
        <v>0</v>
      </c>
      <c r="H28" s="1405">
        <v>0.622</v>
      </c>
      <c r="I28" s="1404">
        <v>1.52</v>
      </c>
      <c r="J28" s="1406">
        <v>2.4195000000000002</v>
      </c>
      <c r="K28" s="1396">
        <v>5.78</v>
      </c>
      <c r="L28" s="1397">
        <v>6.1749999999999998</v>
      </c>
      <c r="M28" s="487"/>
    </row>
    <row r="29" spans="1:13" s="462" customFormat="1" outlineLevel="2" x14ac:dyDescent="0.25">
      <c r="A29" s="494"/>
      <c r="B29" s="463"/>
      <c r="C29" s="560" t="s">
        <v>717</v>
      </c>
      <c r="D29" s="1404">
        <v>40.04</v>
      </c>
      <c r="E29" s="1396">
        <v>40.04</v>
      </c>
      <c r="F29" s="1396">
        <v>39.369999999999997</v>
      </c>
      <c r="G29" s="1396">
        <v>39.369999999999997</v>
      </c>
      <c r="H29" s="1405">
        <v>39.369999999999997</v>
      </c>
      <c r="I29" s="1404">
        <v>38.9</v>
      </c>
      <c r="J29" s="1406">
        <v>36.844000000000001</v>
      </c>
      <c r="K29" s="1396">
        <v>35.020000000000003</v>
      </c>
      <c r="L29" s="1397">
        <v>28.92</v>
      </c>
      <c r="M29" s="487"/>
    </row>
    <row r="30" spans="1:13" s="462" customFormat="1" outlineLevel="2" x14ac:dyDescent="0.25">
      <c r="A30" s="494"/>
      <c r="B30" s="463"/>
      <c r="C30" s="560" t="s">
        <v>718</v>
      </c>
      <c r="D30" s="1404">
        <v>180.8</v>
      </c>
      <c r="E30" s="1396">
        <v>180.8</v>
      </c>
      <c r="F30" s="1396">
        <v>180.47</v>
      </c>
      <c r="G30" s="1396">
        <v>180.33</v>
      </c>
      <c r="H30" s="1405">
        <v>179.7</v>
      </c>
      <c r="I30" s="1404">
        <v>179.28</v>
      </c>
      <c r="J30" s="1406">
        <v>179.04300000000001</v>
      </c>
      <c r="K30" s="1396">
        <v>177.60650000000001</v>
      </c>
      <c r="L30" s="1397">
        <v>176.34</v>
      </c>
      <c r="M30" s="487"/>
    </row>
    <row r="31" spans="1:13" s="462" customFormat="1" outlineLevel="2" x14ac:dyDescent="0.25">
      <c r="A31" s="494"/>
      <c r="B31" s="463"/>
      <c r="C31" s="560" t="s">
        <v>719</v>
      </c>
      <c r="D31" s="1404">
        <v>0</v>
      </c>
      <c r="E31" s="1396">
        <v>0</v>
      </c>
      <c r="F31" s="1396">
        <v>0</v>
      </c>
      <c r="G31" s="1396">
        <v>0</v>
      </c>
      <c r="H31" s="1405">
        <v>0</v>
      </c>
      <c r="I31" s="1404">
        <v>0</v>
      </c>
      <c r="J31" s="1406">
        <v>0</v>
      </c>
      <c r="K31" s="1396">
        <v>0</v>
      </c>
      <c r="L31" s="1397">
        <v>0</v>
      </c>
      <c r="M31" s="487"/>
    </row>
    <row r="32" spans="1:13" s="462" customFormat="1" outlineLevel="2" x14ac:dyDescent="0.25">
      <c r="A32" s="494"/>
      <c r="B32" s="463"/>
      <c r="C32" s="560" t="s">
        <v>781</v>
      </c>
      <c r="D32" s="1404">
        <v>0</v>
      </c>
      <c r="E32" s="1396">
        <v>0</v>
      </c>
      <c r="F32" s="1396">
        <v>0</v>
      </c>
      <c r="G32" s="1396">
        <v>0</v>
      </c>
      <c r="H32" s="1405">
        <v>0</v>
      </c>
      <c r="I32" s="1404">
        <v>0</v>
      </c>
      <c r="J32" s="1406">
        <v>0</v>
      </c>
      <c r="K32" s="1396">
        <v>0</v>
      </c>
      <c r="L32" s="1397">
        <v>0</v>
      </c>
      <c r="M32" s="521"/>
    </row>
    <row r="33" spans="1:13" s="462" customFormat="1" outlineLevel="2" x14ac:dyDescent="0.25">
      <c r="A33" s="494"/>
      <c r="B33" s="463"/>
      <c r="C33" s="560" t="s">
        <v>720</v>
      </c>
      <c r="D33" s="1404">
        <v>268</v>
      </c>
      <c r="E33" s="1396">
        <v>267.08999999999997</v>
      </c>
      <c r="F33" s="1396">
        <v>264.25</v>
      </c>
      <c r="G33" s="1396">
        <v>254.7</v>
      </c>
      <c r="H33" s="1405">
        <v>248.2</v>
      </c>
      <c r="I33" s="1404">
        <v>239.036</v>
      </c>
      <c r="J33" s="1406">
        <v>235.07300000000001</v>
      </c>
      <c r="K33" s="1396">
        <v>225.35900000000001</v>
      </c>
      <c r="L33" s="1397">
        <v>214.04</v>
      </c>
      <c r="M33" s="487"/>
    </row>
    <row r="34" spans="1:13" s="462" customFormat="1" outlineLevel="2" x14ac:dyDescent="0.25">
      <c r="A34" s="494"/>
      <c r="B34" s="463"/>
      <c r="C34" s="560" t="s">
        <v>721</v>
      </c>
      <c r="D34" s="1404">
        <v>215.34761741723349</v>
      </c>
      <c r="E34" s="1396">
        <v>215.38864832420063</v>
      </c>
      <c r="F34" s="1396">
        <v>214.85926406922198</v>
      </c>
      <c r="G34" s="1396">
        <v>212.37500699792335</v>
      </c>
      <c r="H34" s="1405">
        <v>207.88046108777132</v>
      </c>
      <c r="I34" s="1404">
        <v>202.32</v>
      </c>
      <c r="J34" s="1406">
        <v>201.92755</v>
      </c>
      <c r="K34" s="1396">
        <v>200.74276194563475</v>
      </c>
      <c r="L34" s="1397">
        <v>198.75881834853479</v>
      </c>
      <c r="M34" s="487"/>
    </row>
    <row r="35" spans="1:13" s="462" customFormat="1" ht="15.75" outlineLevel="2" thickBot="1" x14ac:dyDescent="0.3">
      <c r="A35" s="494"/>
      <c r="B35" s="557"/>
      <c r="C35" s="561" t="s">
        <v>223</v>
      </c>
      <c r="D35" s="1399">
        <v>0.36</v>
      </c>
      <c r="E35" s="1400">
        <v>0.36</v>
      </c>
      <c r="F35" s="1400">
        <v>0.314</v>
      </c>
      <c r="G35" s="1400">
        <v>0.3</v>
      </c>
      <c r="H35" s="1401">
        <v>0.314</v>
      </c>
      <c r="I35" s="1399">
        <v>0.314</v>
      </c>
      <c r="J35" s="1402">
        <v>0.314</v>
      </c>
      <c r="K35" s="1400">
        <v>0.315</v>
      </c>
      <c r="L35" s="1403">
        <v>0.314</v>
      </c>
      <c r="M35" s="487"/>
    </row>
    <row r="36" spans="1:13" s="462" customFormat="1" ht="24.95" customHeight="1" outlineLevel="1" x14ac:dyDescent="0.25">
      <c r="A36" s="494"/>
      <c r="B36" s="495" t="s">
        <v>810</v>
      </c>
      <c r="C36" s="496"/>
      <c r="D36" s="496"/>
      <c r="E36" s="496"/>
      <c r="F36" s="496"/>
      <c r="G36" s="496"/>
      <c r="H36" s="496"/>
      <c r="I36" s="496"/>
      <c r="J36" s="496"/>
      <c r="K36" s="496"/>
      <c r="L36" s="497"/>
      <c r="M36" s="487"/>
    </row>
    <row r="37" spans="1:13" s="462" customFormat="1" outlineLevel="2" x14ac:dyDescent="0.25">
      <c r="A37" s="494"/>
      <c r="B37" s="467"/>
      <c r="C37" s="562" t="s">
        <v>712</v>
      </c>
      <c r="D37" s="1404">
        <v>0.77</v>
      </c>
      <c r="E37" s="1396">
        <v>0.77</v>
      </c>
      <c r="F37" s="1396">
        <v>0.77900000000000003</v>
      </c>
      <c r="G37" s="1396">
        <v>0.77900000000000003</v>
      </c>
      <c r="H37" s="1405">
        <v>0.77</v>
      </c>
      <c r="I37" s="1404">
        <v>0.47899999999999998</v>
      </c>
      <c r="J37" s="1406">
        <v>0.215</v>
      </c>
      <c r="K37" s="1396">
        <v>0.20200000000000001</v>
      </c>
      <c r="L37" s="1397">
        <v>0.17749999999999999</v>
      </c>
      <c r="M37" s="487"/>
    </row>
    <row r="38" spans="1:13" s="462" customFormat="1" outlineLevel="2" x14ac:dyDescent="0.25">
      <c r="A38" s="494"/>
      <c r="B38" s="463"/>
      <c r="C38" s="560" t="s">
        <v>713</v>
      </c>
      <c r="D38" s="1404">
        <v>0.37</v>
      </c>
      <c r="E38" s="1396">
        <v>0.37</v>
      </c>
      <c r="F38" s="1396">
        <v>0.379</v>
      </c>
      <c r="G38" s="1396">
        <v>0.379</v>
      </c>
      <c r="H38" s="1405">
        <v>0.35499999999999998</v>
      </c>
      <c r="I38" s="1404">
        <v>0.17</v>
      </c>
      <c r="J38" s="1406">
        <v>0.16070000000000001</v>
      </c>
      <c r="K38" s="1396">
        <v>0.16070000000000001</v>
      </c>
      <c r="L38" s="1397">
        <v>0.1246</v>
      </c>
      <c r="M38" s="487"/>
    </row>
    <row r="39" spans="1:13" s="462" customFormat="1" outlineLevel="2" x14ac:dyDescent="0.25">
      <c r="A39" s="494"/>
      <c r="B39" s="463"/>
      <c r="C39" s="560" t="s">
        <v>714</v>
      </c>
      <c r="D39" s="1404">
        <v>0</v>
      </c>
      <c r="E39" s="1396">
        <v>0</v>
      </c>
      <c r="F39" s="1396">
        <v>0</v>
      </c>
      <c r="G39" s="1396">
        <v>0</v>
      </c>
      <c r="H39" s="1405">
        <v>0</v>
      </c>
      <c r="I39" s="1404">
        <v>0</v>
      </c>
      <c r="J39" s="1406">
        <v>0</v>
      </c>
      <c r="K39" s="1396">
        <v>0</v>
      </c>
      <c r="L39" s="1397">
        <v>0</v>
      </c>
      <c r="M39" s="487"/>
    </row>
    <row r="40" spans="1:13" s="462" customFormat="1" outlineLevel="2" x14ac:dyDescent="0.25">
      <c r="A40" s="494"/>
      <c r="B40" s="463"/>
      <c r="C40" s="560" t="s">
        <v>715</v>
      </c>
      <c r="D40" s="1404">
        <v>3143.99</v>
      </c>
      <c r="E40" s="1396">
        <v>3427.29</v>
      </c>
      <c r="F40" s="1396">
        <v>3651.08</v>
      </c>
      <c r="G40" s="1396">
        <v>3944.0647806184334</v>
      </c>
      <c r="H40" s="1405">
        <v>3965.6</v>
      </c>
      <c r="I40" s="1404">
        <v>3965.6</v>
      </c>
      <c r="J40" s="1406">
        <v>3966.3719999999998</v>
      </c>
      <c r="K40" s="1396">
        <v>3966.3380000000002</v>
      </c>
      <c r="L40" s="1397">
        <v>3965.643</v>
      </c>
      <c r="M40" s="487"/>
    </row>
    <row r="41" spans="1:13" s="462" customFormat="1" outlineLevel="2" x14ac:dyDescent="0.25">
      <c r="A41" s="494"/>
      <c r="B41" s="463"/>
      <c r="C41" s="560" t="s">
        <v>716</v>
      </c>
      <c r="D41" s="1404">
        <v>77.87</v>
      </c>
      <c r="E41" s="1396">
        <v>78.62</v>
      </c>
      <c r="F41" s="1396">
        <v>79.180000000000007</v>
      </c>
      <c r="G41" s="1396">
        <v>93.386824547259337</v>
      </c>
      <c r="H41" s="1405">
        <v>434.76</v>
      </c>
      <c r="I41" s="1404">
        <v>741.61959894366419</v>
      </c>
      <c r="J41" s="1406">
        <v>1112.3140000000001</v>
      </c>
      <c r="K41" s="1396">
        <v>1469.3340000000001</v>
      </c>
      <c r="L41" s="1397">
        <v>1650.712</v>
      </c>
      <c r="M41" s="487"/>
    </row>
    <row r="42" spans="1:13" s="462" customFormat="1" outlineLevel="2" x14ac:dyDescent="0.25">
      <c r="A42" s="494"/>
      <c r="B42" s="463"/>
      <c r="C42" s="560" t="s">
        <v>717</v>
      </c>
      <c r="D42" s="1404">
        <v>6.0000000000000001E-3</v>
      </c>
      <c r="E42" s="1396">
        <v>6.0000000000000001E-3</v>
      </c>
      <c r="F42" s="1396">
        <v>6.7000000000000002E-3</v>
      </c>
      <c r="G42" s="1396">
        <v>6.7045496781377001E-2</v>
      </c>
      <c r="H42" s="1405">
        <v>6.7000000000000004E-2</v>
      </c>
      <c r="I42" s="1404">
        <v>6.7000000000000004E-2</v>
      </c>
      <c r="J42" s="1406">
        <v>6.7000000000000004E-2</v>
      </c>
      <c r="K42" s="1396">
        <v>6.7000000000000004E-2</v>
      </c>
      <c r="L42" s="1397">
        <v>0</v>
      </c>
      <c r="M42" s="487"/>
    </row>
    <row r="43" spans="1:13" s="462" customFormat="1" outlineLevel="2" x14ac:dyDescent="0.25">
      <c r="A43" s="494"/>
      <c r="B43" s="463"/>
      <c r="C43" s="560" t="s">
        <v>718</v>
      </c>
      <c r="D43" s="1404">
        <v>2762.46</v>
      </c>
      <c r="E43" s="1396">
        <v>2762.26</v>
      </c>
      <c r="F43" s="1396">
        <v>2760.35</v>
      </c>
      <c r="G43" s="1396">
        <v>2760.2965179425851</v>
      </c>
      <c r="H43" s="1405">
        <v>2753.3</v>
      </c>
      <c r="I43" s="1404">
        <v>2753.29</v>
      </c>
      <c r="J43" s="1406">
        <v>2752.6480000000001</v>
      </c>
      <c r="K43" s="1396">
        <v>2751.9268999999999</v>
      </c>
      <c r="L43" s="1397">
        <v>2751.51</v>
      </c>
      <c r="M43" s="487"/>
    </row>
    <row r="44" spans="1:13" s="462" customFormat="1" outlineLevel="2" x14ac:dyDescent="0.25">
      <c r="A44" s="494"/>
      <c r="B44" s="463"/>
      <c r="C44" s="560" t="s">
        <v>719</v>
      </c>
      <c r="D44" s="1404">
        <v>0</v>
      </c>
      <c r="E44" s="1396">
        <v>0</v>
      </c>
      <c r="F44" s="1396">
        <v>0</v>
      </c>
      <c r="G44" s="1396">
        <v>0</v>
      </c>
      <c r="H44" s="1405">
        <v>0</v>
      </c>
      <c r="I44" s="1404">
        <v>0</v>
      </c>
      <c r="J44" s="1406">
        <v>0</v>
      </c>
      <c r="K44" s="1396">
        <v>0</v>
      </c>
      <c r="L44" s="1397">
        <v>0</v>
      </c>
      <c r="M44" s="487"/>
    </row>
    <row r="45" spans="1:13" s="462" customFormat="1" outlineLevel="2" x14ac:dyDescent="0.25">
      <c r="A45" s="494"/>
      <c r="B45" s="463"/>
      <c r="C45" s="560" t="s">
        <v>781</v>
      </c>
      <c r="D45" s="1404">
        <v>51.6</v>
      </c>
      <c r="E45" s="1396">
        <v>51.63</v>
      </c>
      <c r="F45" s="1396">
        <v>51.5</v>
      </c>
      <c r="G45" s="1396">
        <v>51.49</v>
      </c>
      <c r="H45" s="1405">
        <v>51.39</v>
      </c>
      <c r="I45" s="1404">
        <v>51.39</v>
      </c>
      <c r="J45" s="1406">
        <v>51.39</v>
      </c>
      <c r="K45" s="1396">
        <v>51.39</v>
      </c>
      <c r="L45" s="1397">
        <v>51.395000000000003</v>
      </c>
      <c r="M45" s="521"/>
    </row>
    <row r="46" spans="1:13" s="462" customFormat="1" outlineLevel="2" x14ac:dyDescent="0.25">
      <c r="A46" s="494"/>
      <c r="B46" s="463"/>
      <c r="C46" s="560" t="s">
        <v>720</v>
      </c>
      <c r="D46" s="1404">
        <v>1.1000000000000001</v>
      </c>
      <c r="E46" s="1396">
        <v>1.1000000000000001</v>
      </c>
      <c r="F46" s="1396">
        <v>1.05</v>
      </c>
      <c r="G46" s="1396">
        <v>0.80506990497556108</v>
      </c>
      <c r="H46" s="1405">
        <v>0.80500000000000005</v>
      </c>
      <c r="I46" s="1404">
        <v>0.745</v>
      </c>
      <c r="J46" s="1406">
        <v>0.63500000000000001</v>
      </c>
      <c r="K46" s="1396">
        <v>0.57220000000000004</v>
      </c>
      <c r="L46" s="1397">
        <v>0.56899999999999995</v>
      </c>
      <c r="M46" s="487"/>
    </row>
    <row r="47" spans="1:13" s="462" customFormat="1" outlineLevel="2" x14ac:dyDescent="0.25">
      <c r="A47" s="494"/>
      <c r="B47" s="463"/>
      <c r="C47" s="560" t="s">
        <v>721</v>
      </c>
      <c r="D47" s="1404">
        <v>2278.4288941507102</v>
      </c>
      <c r="E47" s="1396">
        <v>2281.5341574967447</v>
      </c>
      <c r="F47" s="1396">
        <v>2279.5176282384723</v>
      </c>
      <c r="G47" s="1396">
        <v>2282.8267477487134</v>
      </c>
      <c r="H47" s="1405">
        <v>2288.8974875494591</v>
      </c>
      <c r="I47" s="1404">
        <v>2289.1840000000002</v>
      </c>
      <c r="J47" s="1406">
        <v>2289.4450000000002</v>
      </c>
      <c r="K47" s="1396">
        <v>2289.3049999999998</v>
      </c>
      <c r="L47" s="1397">
        <v>2289.3760000000002</v>
      </c>
      <c r="M47" s="487"/>
    </row>
    <row r="48" spans="1:13" s="462" customFormat="1" ht="15.75" outlineLevel="2" thickBot="1" x14ac:dyDescent="0.3">
      <c r="A48" s="494"/>
      <c r="B48" s="557"/>
      <c r="C48" s="561" t="s">
        <v>223</v>
      </c>
      <c r="D48" s="1399">
        <v>0</v>
      </c>
      <c r="E48" s="1400">
        <v>0</v>
      </c>
      <c r="F48" s="1400">
        <v>0</v>
      </c>
      <c r="G48" s="1400">
        <v>0</v>
      </c>
      <c r="H48" s="1401">
        <v>0</v>
      </c>
      <c r="I48" s="1399">
        <v>0</v>
      </c>
      <c r="J48" s="1402">
        <v>0</v>
      </c>
      <c r="K48" s="1400">
        <v>0</v>
      </c>
      <c r="L48" s="1403">
        <v>0</v>
      </c>
      <c r="M48" s="487"/>
    </row>
    <row r="49" spans="1:13" s="462" customFormat="1" ht="24.95" customHeight="1" outlineLevel="1" x14ac:dyDescent="0.25">
      <c r="A49" s="494"/>
      <c r="B49" s="498" t="s">
        <v>811</v>
      </c>
      <c r="C49" s="499"/>
      <c r="D49" s="499"/>
      <c r="E49" s="499"/>
      <c r="F49" s="499"/>
      <c r="G49" s="499"/>
      <c r="H49" s="499"/>
      <c r="I49" s="499"/>
      <c r="J49" s="499"/>
      <c r="K49" s="499"/>
      <c r="L49" s="500"/>
      <c r="M49" s="487"/>
    </row>
    <row r="50" spans="1:13" s="462" customFormat="1" outlineLevel="2" x14ac:dyDescent="0.25">
      <c r="A50" s="494"/>
      <c r="B50" s="463"/>
      <c r="C50" s="560" t="s">
        <v>721</v>
      </c>
      <c r="D50" s="1404">
        <v>181</v>
      </c>
      <c r="E50" s="1396">
        <v>181</v>
      </c>
      <c r="F50" s="1396">
        <v>183</v>
      </c>
      <c r="G50" s="1396">
        <v>184</v>
      </c>
      <c r="H50" s="1405">
        <v>184</v>
      </c>
      <c r="I50" s="1404">
        <v>184</v>
      </c>
      <c r="J50" s="1406">
        <v>184</v>
      </c>
      <c r="K50" s="1396">
        <v>184</v>
      </c>
      <c r="L50" s="1397">
        <v>184</v>
      </c>
      <c r="M50" s="487"/>
    </row>
    <row r="51" spans="1:13" s="462" customFormat="1" ht="15.75" outlineLevel="2" thickBot="1" x14ac:dyDescent="0.3">
      <c r="A51" s="494"/>
      <c r="B51" s="463"/>
      <c r="C51" s="560" t="s">
        <v>223</v>
      </c>
      <c r="D51" s="1404">
        <v>0</v>
      </c>
      <c r="E51" s="1396">
        <v>0</v>
      </c>
      <c r="F51" s="1396">
        <v>0</v>
      </c>
      <c r="G51" s="1396">
        <v>0</v>
      </c>
      <c r="H51" s="1405">
        <v>0</v>
      </c>
      <c r="I51" s="1404">
        <v>0</v>
      </c>
      <c r="J51" s="1406">
        <v>0</v>
      </c>
      <c r="K51" s="1396">
        <v>0</v>
      </c>
      <c r="L51" s="1397">
        <v>0</v>
      </c>
      <c r="M51" s="487"/>
    </row>
    <row r="52" spans="1:13" s="462" customFormat="1" ht="19.5" customHeight="1" outlineLevel="2" thickBot="1" x14ac:dyDescent="0.3">
      <c r="A52" s="494"/>
      <c r="B52" s="391"/>
      <c r="C52" s="558" t="s">
        <v>778</v>
      </c>
      <c r="D52" s="505">
        <f t="shared" ref="D52:L52" si="0">SUM(D11:D51)</f>
        <v>10479.947411567944</v>
      </c>
      <c r="E52" s="505">
        <f t="shared" si="0"/>
        <v>10644.155895820946</v>
      </c>
      <c r="F52" s="505">
        <f t="shared" si="0"/>
        <v>10756.326492307695</v>
      </c>
      <c r="G52" s="505">
        <f t="shared" si="0"/>
        <v>10926.563893256671</v>
      </c>
      <c r="H52" s="505">
        <f t="shared" si="0"/>
        <v>11175.23594863723</v>
      </c>
      <c r="I52" s="505">
        <f t="shared" si="0"/>
        <v>11397.362598943666</v>
      </c>
      <c r="J52" s="505">
        <f t="shared" si="0"/>
        <v>11657.54495</v>
      </c>
      <c r="K52" s="505">
        <f t="shared" si="0"/>
        <v>11926.863750945635</v>
      </c>
      <c r="L52" s="506">
        <f t="shared" si="0"/>
        <v>12011.742608348535</v>
      </c>
      <c r="M52" s="487"/>
    </row>
    <row r="53" spans="1:13" s="492" customFormat="1" outlineLevel="1" x14ac:dyDescent="0.25">
      <c r="A53" s="501"/>
      <c r="B53" s="502"/>
      <c r="C53" s="502"/>
      <c r="D53" s="502"/>
      <c r="E53" s="502"/>
      <c r="F53" s="502"/>
      <c r="G53" s="502"/>
      <c r="H53" s="502"/>
      <c r="I53" s="502"/>
      <c r="J53" s="502"/>
      <c r="K53" s="502"/>
      <c r="L53" s="502"/>
      <c r="M53" s="487"/>
    </row>
    <row r="54" spans="1:13" s="492" customFormat="1" ht="15.75" thickBot="1" x14ac:dyDescent="0.3">
      <c r="A54" s="501"/>
      <c r="B54" s="502"/>
      <c r="C54" s="502"/>
      <c r="D54" s="502"/>
      <c r="E54" s="502"/>
      <c r="F54" s="502"/>
      <c r="G54" s="502"/>
      <c r="H54" s="502"/>
      <c r="I54" s="502"/>
      <c r="J54" s="502"/>
      <c r="K54" s="502"/>
      <c r="L54" s="502"/>
      <c r="M54" s="487"/>
    </row>
    <row r="55" spans="1:13" s="487" customFormat="1" ht="24.95" customHeight="1" thickBot="1" x14ac:dyDescent="0.3">
      <c r="A55" s="400"/>
      <c r="B55" s="84" t="s">
        <v>812</v>
      </c>
      <c r="C55" s="84"/>
      <c r="D55" s="84"/>
      <c r="E55" s="84"/>
      <c r="F55" s="84"/>
      <c r="G55" s="84"/>
      <c r="H55" s="84"/>
      <c r="I55" s="84"/>
      <c r="J55" s="84"/>
      <c r="K55" s="84"/>
      <c r="L55" s="84"/>
    </row>
    <row r="56" spans="1:13" s="91" customFormat="1" ht="15" customHeight="1" outlineLevel="2" x14ac:dyDescent="0.25">
      <c r="A56" s="487"/>
      <c r="B56" s="487"/>
      <c r="C56" s="521"/>
      <c r="D56" s="1669" t="s">
        <v>701</v>
      </c>
      <c r="E56" s="1670"/>
      <c r="F56" s="1670"/>
      <c r="G56" s="1670"/>
      <c r="H56" s="1670"/>
      <c r="I56" s="1670"/>
      <c r="J56" s="1670"/>
      <c r="K56" s="1670"/>
      <c r="L56" s="1671"/>
      <c r="M56" s="487"/>
    </row>
    <row r="57" spans="1:13" s="503" customFormat="1" ht="16.5" customHeight="1" outlineLevel="2" x14ac:dyDescent="0.25">
      <c r="A57" s="487"/>
      <c r="B57" s="487"/>
      <c r="C57" s="521"/>
      <c r="D57" s="1672" t="s">
        <v>722</v>
      </c>
      <c r="E57" s="1673"/>
      <c r="F57" s="1673"/>
      <c r="G57" s="1673"/>
      <c r="H57" s="1673"/>
      <c r="I57" s="1673"/>
      <c r="J57" s="1673"/>
      <c r="K57" s="1673"/>
      <c r="L57" s="1674"/>
      <c r="M57" s="487"/>
    </row>
    <row r="58" spans="1:13" s="91" customFormat="1" ht="21.75" customHeight="1" outlineLevel="2" thickBot="1" x14ac:dyDescent="0.3">
      <c r="A58" s="487"/>
      <c r="B58" s="130"/>
      <c r="C58" s="452"/>
      <c r="D58" s="424">
        <f>CRY</f>
        <v>2011</v>
      </c>
      <c r="E58" s="425" t="str">
        <f ca="1">PRCP_y2</f>
        <v>2002</v>
      </c>
      <c r="F58" s="425" t="str">
        <f ca="1">PRCP_y3</f>
        <v>2003</v>
      </c>
      <c r="G58" s="425" t="str">
        <f ca="1">PRCP_y4</f>
        <v>2004</v>
      </c>
      <c r="H58" s="425" t="str">
        <f ca="1">PRCP_y5</f>
        <v>2005</v>
      </c>
      <c r="I58" s="426" t="str">
        <f ca="1">CRCP_y1</f>
        <v>2006</v>
      </c>
      <c r="J58" s="426" t="str">
        <f ca="1">CRCP_y2</f>
        <v>2007</v>
      </c>
      <c r="K58" s="426" t="str">
        <f ca="1">CRCP_y3</f>
        <v>2008</v>
      </c>
      <c r="L58" s="427" t="str">
        <f ca="1">CRCP_y4</f>
        <v>2009</v>
      </c>
      <c r="M58" s="487"/>
    </row>
    <row r="59" spans="1:13" s="462" customFormat="1" outlineLevel="2" x14ac:dyDescent="0.25">
      <c r="A59" s="494"/>
      <c r="B59" s="467"/>
      <c r="C59" s="1357" t="s">
        <v>723</v>
      </c>
      <c r="D59" s="1503">
        <v>37</v>
      </c>
      <c r="E59" s="1499">
        <v>37</v>
      </c>
      <c r="F59" s="1499">
        <v>37</v>
      </c>
      <c r="G59" s="1499">
        <v>37</v>
      </c>
      <c r="H59" s="1504">
        <v>39</v>
      </c>
      <c r="I59" s="1503">
        <v>40</v>
      </c>
      <c r="J59" s="1501">
        <v>41</v>
      </c>
      <c r="K59" s="1499">
        <v>41</v>
      </c>
      <c r="L59" s="1502">
        <v>41</v>
      </c>
      <c r="M59" s="487"/>
    </row>
    <row r="60" spans="1:13" s="462" customFormat="1" outlineLevel="2" x14ac:dyDescent="0.25">
      <c r="A60" s="494"/>
      <c r="B60" s="463"/>
      <c r="C60" s="1358" t="s">
        <v>724</v>
      </c>
      <c r="D60" s="1404">
        <v>95</v>
      </c>
      <c r="E60" s="1396">
        <v>96</v>
      </c>
      <c r="F60" s="1396">
        <v>98</v>
      </c>
      <c r="G60" s="1396">
        <v>100</v>
      </c>
      <c r="H60" s="1405">
        <v>104</v>
      </c>
      <c r="I60" s="1404">
        <v>104</v>
      </c>
      <c r="J60" s="1406">
        <v>104</v>
      </c>
      <c r="K60" s="1396">
        <v>108</v>
      </c>
      <c r="L60" s="1397">
        <v>106</v>
      </c>
      <c r="M60" s="487"/>
    </row>
    <row r="61" spans="1:13" s="462" customFormat="1" ht="15.75" outlineLevel="2" thickBot="1" x14ac:dyDescent="0.3">
      <c r="A61" s="494"/>
      <c r="B61" s="463"/>
      <c r="C61" s="1358" t="s">
        <v>725</v>
      </c>
      <c r="D61" s="1399">
        <v>74</v>
      </c>
      <c r="E61" s="1400">
        <v>74</v>
      </c>
      <c r="F61" s="1400">
        <v>74</v>
      </c>
      <c r="G61" s="1400">
        <v>74</v>
      </c>
      <c r="H61" s="1401">
        <v>74</v>
      </c>
      <c r="I61" s="1399">
        <v>74</v>
      </c>
      <c r="J61" s="1402">
        <v>73</v>
      </c>
      <c r="K61" s="1400">
        <v>59</v>
      </c>
      <c r="L61" s="1403">
        <v>51</v>
      </c>
      <c r="M61" s="487"/>
    </row>
    <row r="62" spans="1:13" s="462" customFormat="1" ht="19.5" customHeight="1" outlineLevel="2" thickBot="1" x14ac:dyDescent="0.3">
      <c r="A62" s="494"/>
      <c r="B62" s="391"/>
      <c r="C62" s="558" t="s">
        <v>640</v>
      </c>
      <c r="D62" s="1276">
        <f>SUM(D59:D61)</f>
        <v>206</v>
      </c>
      <c r="E62" s="1276">
        <f t="shared" ref="E62:L62" si="1">SUM(E59:E61)</f>
        <v>207</v>
      </c>
      <c r="F62" s="1276">
        <f t="shared" si="1"/>
        <v>209</v>
      </c>
      <c r="G62" s="1276">
        <f t="shared" si="1"/>
        <v>211</v>
      </c>
      <c r="H62" s="1276">
        <f t="shared" si="1"/>
        <v>217</v>
      </c>
      <c r="I62" s="1276">
        <f t="shared" si="1"/>
        <v>218</v>
      </c>
      <c r="J62" s="1276">
        <f t="shared" si="1"/>
        <v>218</v>
      </c>
      <c r="K62" s="1276">
        <f t="shared" si="1"/>
        <v>208</v>
      </c>
      <c r="L62" s="1276">
        <f t="shared" si="1"/>
        <v>198</v>
      </c>
      <c r="M62" s="521"/>
    </row>
    <row r="63" spans="1:13" s="462" customFormat="1" ht="18.75" customHeight="1" x14ac:dyDescent="0.25">
      <c r="A63" s="494"/>
      <c r="M63" s="487"/>
    </row>
    <row r="64" spans="1:13" s="462" customFormat="1" ht="18.75" customHeight="1" x14ac:dyDescent="0.25">
      <c r="A64" s="494"/>
      <c r="M64" s="487"/>
    </row>
    <row r="65" spans="1:13" x14ac:dyDescent="0.25">
      <c r="A65" s="521"/>
      <c r="B65" s="555"/>
      <c r="C65" s="555"/>
      <c r="D65" s="554"/>
      <c r="E65" s="556"/>
      <c r="F65" s="556"/>
      <c r="G65" s="556"/>
      <c r="H65" s="556"/>
      <c r="I65" s="556"/>
      <c r="J65" s="556"/>
      <c r="K65" s="556"/>
      <c r="L65" s="556"/>
      <c r="M65" s="521"/>
    </row>
    <row r="66" spans="1:13" x14ac:dyDescent="0.25">
      <c r="A66" s="521"/>
      <c r="B66" s="555"/>
      <c r="C66" s="555"/>
      <c r="D66" s="554"/>
      <c r="E66" s="556"/>
      <c r="F66" s="556"/>
      <c r="G66" s="556"/>
      <c r="H66" s="556"/>
      <c r="I66" s="556"/>
      <c r="J66" s="556"/>
      <c r="K66" s="556"/>
      <c r="L66" s="556"/>
      <c r="M66" s="521"/>
    </row>
    <row r="67" spans="1:13" x14ac:dyDescent="0.25">
      <c r="A67" s="521"/>
      <c r="B67" s="555"/>
      <c r="C67" s="555"/>
      <c r="D67" s="554"/>
      <c r="E67" s="556"/>
      <c r="F67" s="556"/>
      <c r="G67" s="556"/>
      <c r="H67" s="556"/>
      <c r="I67" s="556"/>
      <c r="J67" s="556"/>
      <c r="K67" s="556"/>
      <c r="L67" s="556"/>
      <c r="M67" s="521"/>
    </row>
    <row r="68" spans="1:13" x14ac:dyDescent="0.25">
      <c r="A68" s="521"/>
      <c r="B68" s="555"/>
      <c r="C68" s="555"/>
      <c r="D68" s="554"/>
      <c r="E68" s="556"/>
      <c r="F68" s="556"/>
      <c r="G68" s="556"/>
      <c r="H68" s="556"/>
      <c r="I68" s="556"/>
      <c r="J68" s="556"/>
      <c r="K68" s="556"/>
      <c r="L68" s="556"/>
      <c r="M68" s="521"/>
    </row>
    <row r="69" spans="1:13" x14ac:dyDescent="0.25">
      <c r="A69" s="521"/>
      <c r="B69" s="555"/>
      <c r="C69" s="555"/>
      <c r="D69" s="554"/>
      <c r="E69" s="556"/>
      <c r="F69" s="556"/>
      <c r="G69" s="556"/>
      <c r="H69" s="556"/>
      <c r="I69" s="556"/>
      <c r="J69" s="556"/>
      <c r="K69" s="556"/>
      <c r="L69" s="556"/>
      <c r="M69" s="521"/>
    </row>
    <row r="70" spans="1:13" x14ac:dyDescent="0.25">
      <c r="A70" s="521"/>
      <c r="B70" s="555"/>
      <c r="C70" s="555"/>
      <c r="D70" s="554"/>
      <c r="E70" s="556"/>
      <c r="F70" s="556"/>
      <c r="G70" s="556"/>
      <c r="H70" s="556"/>
      <c r="I70" s="556"/>
      <c r="J70" s="556"/>
      <c r="K70" s="556"/>
      <c r="L70" s="556"/>
      <c r="M70" s="521"/>
    </row>
    <row r="71" spans="1:13" x14ac:dyDescent="0.25">
      <c r="A71" s="521"/>
      <c r="B71" s="555"/>
      <c r="C71" s="555"/>
      <c r="D71" s="554"/>
      <c r="E71" s="556"/>
      <c r="F71" s="556"/>
      <c r="G71" s="556"/>
      <c r="H71" s="556"/>
      <c r="I71" s="556"/>
      <c r="J71" s="556"/>
      <c r="K71" s="556"/>
      <c r="L71" s="556"/>
      <c r="M71" s="521"/>
    </row>
    <row r="72" spans="1:13" x14ac:dyDescent="0.25">
      <c r="A72" s="521"/>
      <c r="B72" s="555"/>
      <c r="C72" s="555"/>
      <c r="D72" s="554"/>
      <c r="E72" s="556"/>
      <c r="F72" s="556"/>
      <c r="G72" s="556"/>
      <c r="H72" s="556"/>
      <c r="I72" s="556"/>
      <c r="J72" s="556"/>
      <c r="K72" s="556"/>
      <c r="L72" s="556"/>
      <c r="M72" s="521"/>
    </row>
    <row r="73" spans="1:13" x14ac:dyDescent="0.25">
      <c r="A73" s="521"/>
      <c r="B73" s="555"/>
      <c r="C73" s="555"/>
      <c r="D73" s="554"/>
      <c r="E73" s="556"/>
      <c r="F73" s="556"/>
      <c r="G73" s="556"/>
      <c r="H73" s="556"/>
      <c r="I73" s="556"/>
      <c r="J73" s="556"/>
      <c r="K73" s="556"/>
      <c r="L73" s="556"/>
      <c r="M73" s="521"/>
    </row>
    <row r="74" spans="1:13" x14ac:dyDescent="0.25">
      <c r="A74" s="521"/>
      <c r="B74" s="555"/>
      <c r="C74" s="555"/>
      <c r="D74" s="554"/>
      <c r="E74" s="556"/>
      <c r="F74" s="556"/>
      <c r="G74" s="556"/>
      <c r="H74" s="556"/>
      <c r="I74" s="556"/>
      <c r="J74" s="556"/>
      <c r="K74" s="556"/>
      <c r="L74" s="556"/>
      <c r="M74" s="521"/>
    </row>
    <row r="75" spans="1:13" x14ac:dyDescent="0.25">
      <c r="A75" s="521"/>
      <c r="B75" s="555"/>
      <c r="C75" s="555"/>
      <c r="D75" s="554"/>
      <c r="E75" s="556"/>
      <c r="F75" s="556"/>
      <c r="G75" s="556"/>
      <c r="H75" s="556"/>
      <c r="I75" s="556"/>
      <c r="J75" s="556"/>
      <c r="K75" s="556"/>
      <c r="L75" s="556"/>
      <c r="M75" s="521"/>
    </row>
    <row r="76" spans="1:13" x14ac:dyDescent="0.25">
      <c r="A76" s="521"/>
      <c r="B76" s="555"/>
      <c r="C76" s="555"/>
      <c r="D76" s="554"/>
      <c r="E76" s="556"/>
      <c r="F76" s="556"/>
      <c r="G76" s="556"/>
      <c r="H76" s="556"/>
      <c r="I76" s="556"/>
      <c r="J76" s="556"/>
      <c r="K76" s="556"/>
      <c r="L76" s="556"/>
      <c r="M76" s="521"/>
    </row>
    <row r="77" spans="1:13" x14ac:dyDescent="0.25">
      <c r="A77" s="521"/>
      <c r="B77" s="555"/>
      <c r="C77" s="555"/>
      <c r="D77" s="554"/>
      <c r="E77" s="556"/>
      <c r="F77" s="556"/>
      <c r="G77" s="556"/>
      <c r="H77" s="556"/>
      <c r="I77" s="556"/>
      <c r="J77" s="556"/>
      <c r="K77" s="556"/>
      <c r="L77" s="556"/>
      <c r="M77" s="521"/>
    </row>
    <row r="78" spans="1:13" x14ac:dyDescent="0.25">
      <c r="A78" s="521"/>
      <c r="B78" s="555"/>
      <c r="C78" s="555"/>
      <c r="D78" s="554"/>
      <c r="E78" s="556"/>
      <c r="F78" s="556"/>
      <c r="G78" s="556"/>
      <c r="H78" s="556"/>
      <c r="I78" s="556"/>
      <c r="J78" s="556"/>
      <c r="K78" s="556"/>
      <c r="L78" s="556"/>
      <c r="M78" s="521"/>
    </row>
    <row r="79" spans="1:13" x14ac:dyDescent="0.25">
      <c r="A79" s="521"/>
      <c r="B79" s="555"/>
      <c r="C79" s="555"/>
      <c r="D79" s="554"/>
      <c r="E79" s="556"/>
      <c r="F79" s="556"/>
      <c r="G79" s="556"/>
      <c r="H79" s="556"/>
      <c r="I79" s="556"/>
      <c r="J79" s="556"/>
      <c r="K79" s="556"/>
      <c r="L79" s="556"/>
      <c r="M79" s="521"/>
    </row>
    <row r="80" spans="1:13" x14ac:dyDescent="0.25">
      <c r="A80" s="521"/>
      <c r="B80" s="555"/>
      <c r="C80" s="555"/>
      <c r="D80" s="554"/>
      <c r="E80" s="556"/>
      <c r="F80" s="556"/>
      <c r="G80" s="556"/>
      <c r="H80" s="556"/>
      <c r="I80" s="556"/>
      <c r="J80" s="556"/>
      <c r="K80" s="556"/>
      <c r="L80" s="556"/>
      <c r="M80" s="521"/>
    </row>
    <row r="81" spans="1:13" x14ac:dyDescent="0.25">
      <c r="A81" s="521"/>
      <c r="B81" s="555"/>
      <c r="C81" s="555"/>
      <c r="D81" s="554"/>
      <c r="E81" s="556"/>
      <c r="F81" s="556"/>
      <c r="G81" s="556"/>
      <c r="H81" s="556"/>
      <c r="I81" s="556"/>
      <c r="J81" s="556"/>
      <c r="K81" s="556"/>
      <c r="L81" s="556"/>
      <c r="M81" s="521"/>
    </row>
    <row r="82" spans="1:13" x14ac:dyDescent="0.25">
      <c r="A82" s="521"/>
      <c r="B82" s="555"/>
      <c r="C82" s="555"/>
      <c r="D82" s="554"/>
      <c r="E82" s="556"/>
      <c r="F82" s="556"/>
      <c r="G82" s="556"/>
      <c r="H82" s="556"/>
      <c r="I82" s="556"/>
      <c r="J82" s="556"/>
      <c r="K82" s="556"/>
      <c r="L82" s="556"/>
      <c r="M82" s="521"/>
    </row>
    <row r="83" spans="1:13" x14ac:dyDescent="0.25">
      <c r="A83" s="521"/>
      <c r="B83" s="555"/>
      <c r="C83" s="555"/>
      <c r="D83" s="554"/>
      <c r="E83" s="556"/>
      <c r="F83" s="556"/>
      <c r="G83" s="556"/>
      <c r="H83" s="556"/>
      <c r="I83" s="556"/>
      <c r="J83" s="556"/>
      <c r="K83" s="556"/>
      <c r="L83" s="556"/>
      <c r="M83" s="521"/>
    </row>
    <row r="84" spans="1:13" x14ac:dyDescent="0.25">
      <c r="A84" s="521"/>
      <c r="B84" s="555"/>
      <c r="C84" s="555"/>
      <c r="D84" s="554"/>
      <c r="E84" s="556"/>
      <c r="F84" s="556"/>
      <c r="G84" s="556"/>
      <c r="H84" s="556"/>
      <c r="I84" s="556"/>
      <c r="J84" s="556"/>
      <c r="K84" s="556"/>
      <c r="L84" s="556"/>
      <c r="M84" s="521"/>
    </row>
    <row r="85" spans="1:13" x14ac:dyDescent="0.25">
      <c r="A85" s="521"/>
      <c r="B85" s="555"/>
      <c r="C85" s="555"/>
      <c r="D85" s="554"/>
      <c r="E85" s="556"/>
      <c r="F85" s="556"/>
      <c r="G85" s="556"/>
      <c r="H85" s="556"/>
      <c r="I85" s="556"/>
      <c r="J85" s="556"/>
      <c r="K85" s="556"/>
      <c r="L85" s="556"/>
      <c r="M85" s="521"/>
    </row>
    <row r="86" spans="1:13" x14ac:dyDescent="0.25">
      <c r="A86" s="521"/>
      <c r="B86" s="555"/>
      <c r="C86" s="555"/>
      <c r="D86" s="554"/>
      <c r="E86" s="556"/>
      <c r="F86" s="556"/>
      <c r="G86" s="556"/>
      <c r="H86" s="556"/>
      <c r="I86" s="556"/>
      <c r="J86" s="556"/>
      <c r="K86" s="556"/>
      <c r="L86" s="556"/>
      <c r="M86" s="521"/>
    </row>
    <row r="87" spans="1:13" x14ac:dyDescent="0.25">
      <c r="A87" s="521"/>
      <c r="B87" s="555"/>
      <c r="C87" s="555"/>
      <c r="D87" s="554"/>
      <c r="E87" s="556"/>
      <c r="F87" s="556"/>
      <c r="G87" s="556"/>
      <c r="H87" s="556"/>
      <c r="I87" s="556"/>
      <c r="J87" s="556"/>
      <c r="K87" s="556"/>
      <c r="L87" s="556"/>
      <c r="M87" s="521"/>
    </row>
    <row r="88" spans="1:13" x14ac:dyDescent="0.25">
      <c r="A88" s="521"/>
      <c r="B88" s="555"/>
      <c r="C88" s="555"/>
      <c r="D88" s="554"/>
      <c r="E88" s="556"/>
      <c r="F88" s="556"/>
      <c r="G88" s="556"/>
      <c r="H88" s="556"/>
      <c r="I88" s="556"/>
      <c r="J88" s="556"/>
      <c r="K88" s="556"/>
      <c r="L88" s="556"/>
      <c r="M88" s="521"/>
    </row>
    <row r="89" spans="1:13" x14ac:dyDescent="0.25">
      <c r="A89" s="521"/>
      <c r="B89" s="555"/>
      <c r="C89" s="555"/>
      <c r="D89" s="554"/>
      <c r="E89" s="556"/>
      <c r="F89" s="556"/>
      <c r="G89" s="556"/>
      <c r="H89" s="556"/>
      <c r="I89" s="556"/>
      <c r="J89" s="556"/>
      <c r="K89" s="556"/>
      <c r="L89" s="556"/>
      <c r="M89" s="521"/>
    </row>
    <row r="90" spans="1:13" x14ac:dyDescent="0.25">
      <c r="A90" s="521"/>
      <c r="B90" s="555"/>
      <c r="C90" s="555"/>
      <c r="D90" s="554"/>
      <c r="E90" s="556"/>
      <c r="F90" s="556"/>
      <c r="G90" s="556"/>
      <c r="H90" s="556"/>
      <c r="I90" s="556"/>
      <c r="J90" s="556"/>
      <c r="K90" s="556"/>
      <c r="L90" s="556"/>
      <c r="M90" s="521"/>
    </row>
    <row r="91" spans="1:13" x14ac:dyDescent="0.25">
      <c r="A91" s="521"/>
      <c r="B91" s="555"/>
      <c r="C91" s="555"/>
      <c r="D91" s="554"/>
      <c r="E91" s="556"/>
      <c r="F91" s="556"/>
      <c r="G91" s="556"/>
      <c r="H91" s="556"/>
      <c r="I91" s="556"/>
      <c r="J91" s="556"/>
      <c r="K91" s="556"/>
      <c r="L91" s="556"/>
      <c r="M91" s="521"/>
    </row>
    <row r="92" spans="1:13" x14ac:dyDescent="0.25">
      <c r="A92" s="521"/>
      <c r="B92" s="555"/>
      <c r="C92" s="555"/>
      <c r="D92" s="554"/>
      <c r="E92" s="556"/>
      <c r="F92" s="556"/>
      <c r="G92" s="556"/>
      <c r="H92" s="556"/>
      <c r="I92" s="556"/>
      <c r="J92" s="556"/>
      <c r="K92" s="556"/>
      <c r="L92" s="556"/>
      <c r="M92" s="521"/>
    </row>
    <row r="93" spans="1:13" x14ac:dyDescent="0.25">
      <c r="A93" s="521"/>
      <c r="B93" s="555"/>
      <c r="C93" s="555"/>
      <c r="D93" s="554"/>
      <c r="E93" s="556"/>
      <c r="F93" s="556"/>
      <c r="G93" s="556"/>
      <c r="H93" s="556"/>
      <c r="I93" s="556"/>
      <c r="J93" s="556"/>
      <c r="K93" s="556"/>
      <c r="L93" s="556"/>
      <c r="M93" s="521"/>
    </row>
    <row r="94" spans="1:13" x14ac:dyDescent="0.25">
      <c r="A94" s="521"/>
      <c r="B94" s="555"/>
      <c r="C94" s="555"/>
      <c r="D94" s="554"/>
      <c r="E94" s="556"/>
      <c r="F94" s="556"/>
      <c r="G94" s="556"/>
      <c r="H94" s="556"/>
      <c r="I94" s="556"/>
      <c r="J94" s="556"/>
      <c r="K94" s="556"/>
      <c r="L94" s="556"/>
      <c r="M94" s="521"/>
    </row>
    <row r="95" spans="1:13" x14ac:dyDescent="0.25">
      <c r="A95" s="521"/>
      <c r="B95" s="555"/>
      <c r="C95" s="555"/>
      <c r="D95" s="554"/>
      <c r="E95" s="556"/>
      <c r="F95" s="556"/>
      <c r="G95" s="556"/>
      <c r="H95" s="556"/>
      <c r="I95" s="556"/>
      <c r="J95" s="556"/>
      <c r="K95" s="556"/>
      <c r="L95" s="556"/>
      <c r="M95" s="521"/>
    </row>
    <row r="96" spans="1:13" x14ac:dyDescent="0.25">
      <c r="A96" s="521"/>
      <c r="B96" s="555"/>
      <c r="C96" s="555"/>
      <c r="D96" s="554"/>
      <c r="E96" s="556"/>
      <c r="F96" s="556"/>
      <c r="G96" s="556"/>
      <c r="H96" s="556"/>
      <c r="I96" s="556"/>
      <c r="J96" s="556"/>
      <c r="K96" s="556"/>
      <c r="L96" s="556"/>
      <c r="M96" s="521"/>
    </row>
    <row r="97" spans="1:13" x14ac:dyDescent="0.25">
      <c r="A97" s="521"/>
      <c r="B97" s="555"/>
      <c r="C97" s="555"/>
      <c r="D97" s="554"/>
      <c r="E97" s="556"/>
      <c r="F97" s="556"/>
      <c r="G97" s="556"/>
      <c r="H97" s="556"/>
      <c r="I97" s="556"/>
      <c r="J97" s="556"/>
      <c r="K97" s="556"/>
      <c r="L97" s="556"/>
      <c r="M97" s="521"/>
    </row>
    <row r="98" spans="1:13" x14ac:dyDescent="0.25">
      <c r="A98" s="521"/>
      <c r="B98" s="555"/>
      <c r="C98" s="555"/>
      <c r="D98" s="554"/>
      <c r="E98" s="556"/>
      <c r="F98" s="556"/>
      <c r="G98" s="556"/>
      <c r="H98" s="556"/>
      <c r="I98" s="556"/>
      <c r="J98" s="556"/>
      <c r="K98" s="556"/>
      <c r="L98" s="556"/>
      <c r="M98" s="521"/>
    </row>
    <row r="99" spans="1:13" x14ac:dyDescent="0.25">
      <c r="A99" s="521"/>
      <c r="B99" s="555"/>
      <c r="C99" s="555"/>
      <c r="D99" s="554"/>
      <c r="E99" s="556"/>
      <c r="F99" s="556"/>
      <c r="G99" s="556"/>
      <c r="H99" s="556"/>
      <c r="I99" s="556"/>
      <c r="J99" s="556"/>
      <c r="K99" s="556"/>
      <c r="L99" s="556"/>
      <c r="M99" s="521"/>
    </row>
    <row r="100" spans="1:13" x14ac:dyDescent="0.25">
      <c r="A100" s="521"/>
      <c r="B100" s="555"/>
      <c r="C100" s="555"/>
      <c r="D100" s="554"/>
      <c r="E100" s="556"/>
      <c r="F100" s="556"/>
      <c r="G100" s="556"/>
      <c r="H100" s="556"/>
      <c r="I100" s="556"/>
      <c r="J100" s="556"/>
      <c r="K100" s="556"/>
      <c r="L100" s="556"/>
      <c r="M100" s="521"/>
    </row>
    <row r="101" spans="1:13" x14ac:dyDescent="0.25">
      <c r="A101" s="521"/>
      <c r="B101" s="555"/>
      <c r="C101" s="555"/>
      <c r="D101" s="554"/>
      <c r="E101" s="556"/>
      <c r="F101" s="556"/>
      <c r="G101" s="556"/>
      <c r="H101" s="556"/>
      <c r="I101" s="556"/>
      <c r="J101" s="556"/>
      <c r="K101" s="556"/>
      <c r="L101" s="556"/>
      <c r="M101" s="521"/>
    </row>
    <row r="102" spans="1:13" x14ac:dyDescent="0.25">
      <c r="A102" s="521"/>
      <c r="B102" s="555"/>
      <c r="C102" s="555"/>
      <c r="D102" s="554"/>
      <c r="E102" s="556"/>
      <c r="F102" s="556"/>
      <c r="G102" s="556"/>
      <c r="H102" s="556"/>
      <c r="I102" s="556"/>
      <c r="J102" s="556"/>
      <c r="K102" s="556"/>
      <c r="L102" s="556"/>
      <c r="M102" s="521"/>
    </row>
    <row r="103" spans="1:13" x14ac:dyDescent="0.25">
      <c r="A103" s="521"/>
      <c r="B103" s="555"/>
      <c r="C103" s="555"/>
      <c r="D103" s="554"/>
      <c r="E103" s="556"/>
      <c r="F103" s="556"/>
      <c r="G103" s="556"/>
      <c r="H103" s="556"/>
      <c r="I103" s="556"/>
      <c r="J103" s="556"/>
      <c r="K103" s="556"/>
      <c r="L103" s="556"/>
      <c r="M103" s="521"/>
    </row>
    <row r="104" spans="1:13" x14ac:dyDescent="0.25">
      <c r="A104" s="521"/>
      <c r="B104" s="555"/>
      <c r="C104" s="555"/>
      <c r="D104" s="554"/>
      <c r="E104" s="556"/>
      <c r="F104" s="556"/>
      <c r="G104" s="556"/>
      <c r="H104" s="556"/>
      <c r="I104" s="556"/>
      <c r="J104" s="556"/>
      <c r="K104" s="556"/>
      <c r="L104" s="556"/>
      <c r="M104" s="521"/>
    </row>
    <row r="105" spans="1:13" x14ac:dyDescent="0.25">
      <c r="A105" s="521"/>
      <c r="B105" s="555"/>
      <c r="C105" s="555"/>
      <c r="D105" s="554"/>
      <c r="E105" s="556"/>
      <c r="F105" s="556"/>
      <c r="G105" s="556"/>
      <c r="H105" s="556"/>
      <c r="I105" s="556"/>
      <c r="J105" s="556"/>
      <c r="K105" s="556"/>
      <c r="L105" s="556"/>
      <c r="M105" s="521"/>
    </row>
    <row r="106" spans="1:13" x14ac:dyDescent="0.25">
      <c r="A106" s="521"/>
      <c r="B106" s="555"/>
      <c r="C106" s="555"/>
      <c r="D106" s="554"/>
      <c r="E106" s="556"/>
      <c r="F106" s="556"/>
      <c r="G106" s="556"/>
      <c r="H106" s="556"/>
      <c r="I106" s="556"/>
      <c r="J106" s="556"/>
      <c r="K106" s="556"/>
      <c r="L106" s="556"/>
      <c r="M106" s="521"/>
    </row>
    <row r="107" spans="1:13" x14ac:dyDescent="0.25">
      <c r="A107" s="521"/>
      <c r="B107" s="555"/>
      <c r="C107" s="555"/>
      <c r="D107" s="554"/>
      <c r="E107" s="556"/>
      <c r="F107" s="556"/>
      <c r="G107" s="556"/>
      <c r="H107" s="556"/>
      <c r="I107" s="556"/>
      <c r="J107" s="556"/>
      <c r="K107" s="556"/>
      <c r="L107" s="556"/>
      <c r="M107" s="521"/>
    </row>
    <row r="108" spans="1:13" x14ac:dyDescent="0.25">
      <c r="A108" s="521"/>
      <c r="B108" s="555"/>
      <c r="C108" s="555"/>
      <c r="D108" s="554"/>
      <c r="E108" s="556"/>
      <c r="F108" s="556"/>
      <c r="G108" s="556"/>
      <c r="H108" s="556"/>
      <c r="I108" s="556"/>
      <c r="J108" s="556"/>
      <c r="K108" s="556"/>
      <c r="L108" s="556"/>
      <c r="M108" s="521"/>
    </row>
    <row r="109" spans="1:13" x14ac:dyDescent="0.25">
      <c r="A109" s="521"/>
      <c r="B109" s="555"/>
      <c r="C109" s="555"/>
      <c r="D109" s="554"/>
      <c r="E109" s="556"/>
      <c r="F109" s="556"/>
      <c r="G109" s="556"/>
      <c r="H109" s="556"/>
      <c r="I109" s="556"/>
      <c r="J109" s="556"/>
      <c r="K109" s="556"/>
      <c r="L109" s="556"/>
      <c r="M109" s="521"/>
    </row>
    <row r="110" spans="1:13" x14ac:dyDescent="0.25">
      <c r="A110" s="521"/>
      <c r="B110" s="555"/>
      <c r="C110" s="555"/>
      <c r="D110" s="554"/>
      <c r="E110" s="556"/>
      <c r="F110" s="556"/>
      <c r="G110" s="556"/>
      <c r="H110" s="556"/>
      <c r="I110" s="556"/>
      <c r="J110" s="556"/>
      <c r="K110" s="556"/>
      <c r="L110" s="556"/>
      <c r="M110" s="521"/>
    </row>
    <row r="111" spans="1:13" x14ac:dyDescent="0.25">
      <c r="A111" s="521"/>
      <c r="B111" s="555"/>
      <c r="C111" s="555"/>
      <c r="D111" s="554"/>
      <c r="E111" s="556"/>
      <c r="F111" s="556"/>
      <c r="G111" s="556"/>
      <c r="H111" s="556"/>
      <c r="I111" s="556"/>
      <c r="J111" s="556"/>
      <c r="K111" s="556"/>
      <c r="L111" s="556"/>
      <c r="M111" s="521"/>
    </row>
    <row r="112" spans="1:13" x14ac:dyDescent="0.25">
      <c r="A112" s="521"/>
      <c r="B112" s="555"/>
      <c r="C112" s="555"/>
      <c r="D112" s="554"/>
      <c r="E112" s="556"/>
      <c r="F112" s="556"/>
      <c r="G112" s="556"/>
      <c r="H112" s="556"/>
      <c r="I112" s="556"/>
      <c r="J112" s="556"/>
      <c r="K112" s="556"/>
      <c r="L112" s="556"/>
      <c r="M112" s="521"/>
    </row>
    <row r="113" spans="1:13" x14ac:dyDescent="0.25">
      <c r="A113" s="521"/>
      <c r="B113" s="555"/>
      <c r="C113" s="555"/>
      <c r="D113" s="554"/>
      <c r="E113" s="556"/>
      <c r="F113" s="556"/>
      <c r="G113" s="556"/>
      <c r="H113" s="556"/>
      <c r="I113" s="556"/>
      <c r="J113" s="556"/>
      <c r="K113" s="556"/>
      <c r="L113" s="556"/>
      <c r="M113" s="521"/>
    </row>
    <row r="114" spans="1:13" x14ac:dyDescent="0.25">
      <c r="A114" s="521"/>
      <c r="B114" s="555"/>
      <c r="C114" s="555"/>
      <c r="D114" s="554"/>
      <c r="E114" s="556"/>
      <c r="F114" s="556"/>
      <c r="G114" s="556"/>
      <c r="H114" s="556"/>
      <c r="I114" s="556"/>
      <c r="J114" s="556"/>
      <c r="K114" s="556"/>
      <c r="L114" s="556"/>
      <c r="M114" s="521"/>
    </row>
    <row r="115" spans="1:13" x14ac:dyDescent="0.25">
      <c r="A115" s="521"/>
      <c r="B115" s="555"/>
      <c r="C115" s="555"/>
      <c r="D115" s="554"/>
      <c r="E115" s="556"/>
      <c r="F115" s="556"/>
      <c r="G115" s="556"/>
      <c r="H115" s="556"/>
      <c r="I115" s="556"/>
      <c r="J115" s="556"/>
      <c r="K115" s="556"/>
      <c r="L115" s="556"/>
      <c r="M115" s="521"/>
    </row>
    <row r="116" spans="1:13" x14ac:dyDescent="0.25">
      <c r="A116" s="521"/>
      <c r="B116" s="555"/>
      <c r="C116" s="555"/>
      <c r="D116" s="554"/>
      <c r="E116" s="556"/>
      <c r="F116" s="556"/>
      <c r="G116" s="556"/>
      <c r="H116" s="556"/>
      <c r="I116" s="556"/>
      <c r="J116" s="556"/>
      <c r="K116" s="556"/>
      <c r="L116" s="556"/>
      <c r="M116" s="521"/>
    </row>
    <row r="117" spans="1:13" x14ac:dyDescent="0.25">
      <c r="A117" s="521"/>
      <c r="B117" s="555"/>
      <c r="C117" s="555"/>
      <c r="D117" s="554"/>
      <c r="E117" s="556"/>
      <c r="F117" s="556"/>
      <c r="G117" s="556"/>
      <c r="H117" s="556"/>
      <c r="I117" s="556"/>
      <c r="J117" s="556"/>
      <c r="K117" s="556"/>
      <c r="L117" s="556"/>
      <c r="M117" s="521"/>
    </row>
    <row r="118" spans="1:13" x14ac:dyDescent="0.25">
      <c r="A118" s="521"/>
      <c r="B118" s="555"/>
      <c r="C118" s="555"/>
      <c r="D118" s="554"/>
      <c r="E118" s="556"/>
      <c r="F118" s="556"/>
      <c r="G118" s="556"/>
      <c r="H118" s="556"/>
      <c r="I118" s="556"/>
      <c r="J118" s="556"/>
      <c r="K118" s="556"/>
      <c r="L118" s="556"/>
      <c r="M118" s="521"/>
    </row>
    <row r="119" spans="1:13" x14ac:dyDescent="0.25">
      <c r="A119" s="521"/>
      <c r="B119" s="555"/>
      <c r="C119" s="555"/>
      <c r="D119" s="554"/>
      <c r="E119" s="556"/>
      <c r="F119" s="556"/>
      <c r="G119" s="556"/>
      <c r="H119" s="556"/>
      <c r="I119" s="556"/>
      <c r="J119" s="556"/>
      <c r="K119" s="556"/>
      <c r="L119" s="556"/>
      <c r="M119" s="521"/>
    </row>
    <row r="120" spans="1:13" x14ac:dyDescent="0.25">
      <c r="A120" s="521"/>
      <c r="B120" s="555"/>
      <c r="C120" s="555"/>
      <c r="D120" s="554"/>
      <c r="E120" s="556"/>
      <c r="F120" s="556"/>
      <c r="G120" s="556"/>
      <c r="H120" s="556"/>
      <c r="I120" s="556"/>
      <c r="J120" s="556"/>
      <c r="K120" s="556"/>
      <c r="L120" s="556"/>
      <c r="M120" s="521"/>
    </row>
    <row r="121" spans="1:13" x14ac:dyDescent="0.25">
      <c r="A121" s="521"/>
      <c r="B121" s="555"/>
      <c r="C121" s="555"/>
      <c r="D121" s="554"/>
      <c r="E121" s="556"/>
      <c r="F121" s="556"/>
      <c r="G121" s="556"/>
      <c r="H121" s="556"/>
      <c r="I121" s="556"/>
      <c r="J121" s="556"/>
      <c r="K121" s="556"/>
      <c r="L121" s="556"/>
      <c r="M121" s="521"/>
    </row>
    <row r="122" spans="1:13" x14ac:dyDescent="0.25">
      <c r="A122" s="521"/>
      <c r="B122" s="555"/>
      <c r="C122" s="555"/>
      <c r="D122" s="554"/>
      <c r="E122" s="556"/>
      <c r="F122" s="556"/>
      <c r="G122" s="556"/>
      <c r="H122" s="556"/>
      <c r="I122" s="556"/>
      <c r="J122" s="556"/>
      <c r="K122" s="556"/>
      <c r="L122" s="556"/>
      <c r="M122" s="521"/>
    </row>
    <row r="123" spans="1:13" x14ac:dyDescent="0.25">
      <c r="A123" s="521"/>
      <c r="B123" s="555"/>
      <c r="C123" s="555"/>
      <c r="D123" s="554"/>
      <c r="E123" s="556"/>
      <c r="F123" s="556"/>
      <c r="G123" s="556"/>
      <c r="H123" s="556"/>
      <c r="I123" s="556"/>
      <c r="J123" s="556"/>
      <c r="K123" s="556"/>
      <c r="L123" s="556"/>
      <c r="M123" s="521"/>
    </row>
    <row r="124" spans="1:13" x14ac:dyDescent="0.25">
      <c r="A124" s="521"/>
      <c r="B124" s="555"/>
      <c r="C124" s="555"/>
      <c r="D124" s="554"/>
      <c r="E124" s="556"/>
      <c r="F124" s="556"/>
      <c r="G124" s="556"/>
      <c r="H124" s="556"/>
      <c r="I124" s="556"/>
      <c r="J124" s="556"/>
      <c r="K124" s="556"/>
      <c r="L124" s="556"/>
      <c r="M124" s="521"/>
    </row>
    <row r="125" spans="1:13" x14ac:dyDescent="0.25">
      <c r="A125" s="521"/>
      <c r="B125" s="555"/>
      <c r="C125" s="555"/>
      <c r="D125" s="554"/>
      <c r="E125" s="556"/>
      <c r="F125" s="556"/>
      <c r="G125" s="556"/>
      <c r="H125" s="556"/>
      <c r="I125" s="556"/>
      <c r="J125" s="556"/>
      <c r="K125" s="556"/>
      <c r="L125" s="556"/>
      <c r="M125" s="521"/>
    </row>
    <row r="126" spans="1:13" x14ac:dyDescent="0.25">
      <c r="A126" s="521"/>
      <c r="B126" s="555"/>
      <c r="C126" s="555"/>
      <c r="D126" s="554"/>
      <c r="E126" s="556"/>
      <c r="F126" s="556"/>
      <c r="G126" s="556"/>
      <c r="H126" s="556"/>
      <c r="I126" s="556"/>
      <c r="J126" s="556"/>
      <c r="K126" s="556"/>
      <c r="L126" s="556"/>
      <c r="M126" s="521"/>
    </row>
    <row r="127" spans="1:13" x14ac:dyDescent="0.25">
      <c r="A127" s="521"/>
      <c r="B127" s="555"/>
      <c r="C127" s="555"/>
      <c r="D127" s="554"/>
      <c r="E127" s="556"/>
      <c r="F127" s="556"/>
      <c r="G127" s="556"/>
      <c r="H127" s="556"/>
      <c r="I127" s="556"/>
      <c r="J127" s="556"/>
      <c r="K127" s="556"/>
      <c r="L127" s="556"/>
      <c r="M127" s="521"/>
    </row>
    <row r="128" spans="1:13" x14ac:dyDescent="0.25">
      <c r="A128" s="521"/>
      <c r="B128" s="555"/>
      <c r="C128" s="555"/>
      <c r="D128" s="554"/>
      <c r="E128" s="556"/>
      <c r="F128" s="556"/>
      <c r="G128" s="556"/>
      <c r="H128" s="556"/>
      <c r="I128" s="556"/>
      <c r="J128" s="556"/>
      <c r="K128" s="556"/>
      <c r="L128" s="556"/>
      <c r="M128" s="521"/>
    </row>
    <row r="129" spans="1:13" x14ac:dyDescent="0.25">
      <c r="A129" s="521"/>
      <c r="B129" s="555"/>
      <c r="C129" s="555"/>
      <c r="D129" s="554"/>
      <c r="E129" s="556"/>
      <c r="F129" s="556"/>
      <c r="G129" s="556"/>
      <c r="H129" s="556"/>
      <c r="I129" s="556"/>
      <c r="J129" s="556"/>
      <c r="K129" s="556"/>
      <c r="L129" s="556"/>
      <c r="M129" s="521"/>
    </row>
  </sheetData>
  <mergeCells count="4">
    <mergeCell ref="D7:L7"/>
    <mergeCell ref="D8:L8"/>
    <mergeCell ref="D56:L56"/>
    <mergeCell ref="D57:L57"/>
  </mergeCells>
  <pageMargins left="0.7" right="0.7" top="0.75" bottom="0.75" header="0.3" footer="0.3"/>
  <pageSetup paperSize="9" orientation="portrait" r:id="rId1"/>
  <customProperties>
    <customPr name="_pios_id" r:id="rId2"/>
    <customPr name="EpmWorksheetKeyString_GUID" r:id="rId3"/>
  </customPropertie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9" tint="-0.249977111117893"/>
  </sheetPr>
  <dimension ref="A1:L28"/>
  <sheetViews>
    <sheetView showGridLines="0" zoomScale="80" zoomScaleNormal="80" workbookViewId="0">
      <selection activeCell="A2" sqref="A2"/>
    </sheetView>
  </sheetViews>
  <sheetFormatPr defaultColWidth="9.140625" defaultRowHeight="15" x14ac:dyDescent="0.25"/>
  <cols>
    <col min="1" max="1" width="22.7109375" style="401" customWidth="1"/>
    <col min="2" max="2" width="55.85546875" style="401" customWidth="1"/>
    <col min="3" max="3" width="18.28515625" style="401" customWidth="1"/>
    <col min="4" max="7" width="18.7109375" style="401" customWidth="1"/>
    <col min="8" max="8" width="18.7109375" style="487" customWidth="1"/>
    <col min="9" max="9" width="18.7109375" style="1294" customWidth="1"/>
    <col min="10" max="11" width="18.7109375" style="401" customWidth="1"/>
    <col min="12" max="16384" width="9.140625" style="401"/>
  </cols>
  <sheetData>
    <row r="1" spans="1:12" ht="30" customHeight="1" x14ac:dyDescent="0.25">
      <c r="B1" s="103" t="str">
        <f>IF(dms_MultiYear_ResponseFlag="Yes","REGULATORY REPORTING STATEMENT - HISTORICAL INFORMATION",INDEX(dms_Worksheet_List,MATCH(dms_Model,dms_Model_List)))</f>
        <v>REGULATORY REPORTING STATEMENT - HISTORICAL INFORMATION</v>
      </c>
      <c r="C1" s="76"/>
      <c r="D1" s="76"/>
      <c r="E1" s="76"/>
      <c r="F1" s="76"/>
      <c r="G1" s="76"/>
      <c r="H1" s="76"/>
      <c r="I1" s="76"/>
      <c r="J1" s="76"/>
      <c r="K1" s="76"/>
    </row>
    <row r="2" spans="1:12" ht="30" customHeight="1" x14ac:dyDescent="0.25">
      <c r="B2" s="103" t="str">
        <f>INDEX(dms_TradingNameFull_List,MATCH(dms_TradingName,dms_TradingName_List))</f>
        <v>AusNet Gas Services</v>
      </c>
      <c r="C2" s="76"/>
      <c r="D2" s="76"/>
      <c r="E2" s="76"/>
      <c r="F2" s="76"/>
      <c r="G2" s="76"/>
      <c r="H2" s="76"/>
      <c r="I2" s="76"/>
      <c r="J2" s="76"/>
      <c r="K2" s="76"/>
    </row>
    <row r="3" spans="1:12" ht="30" customHeight="1" x14ac:dyDescent="0.25">
      <c r="B3" s="103" t="str">
        <f>CONCATENATE(CRY," to ",dms_MultiYear_FinalYear_Result)</f>
        <v>2011 to 2019</v>
      </c>
      <c r="C3" s="76"/>
      <c r="D3" s="76"/>
      <c r="E3" s="76"/>
      <c r="F3" s="76"/>
      <c r="G3" s="76"/>
      <c r="H3" s="76"/>
      <c r="I3" s="76"/>
      <c r="J3" s="76"/>
      <c r="K3" s="76"/>
    </row>
    <row r="4" spans="1:12" ht="30" customHeight="1" x14ac:dyDescent="0.25">
      <c r="B4" s="83" t="s">
        <v>736</v>
      </c>
      <c r="C4" s="323"/>
      <c r="D4" s="323"/>
      <c r="E4" s="323"/>
      <c r="F4" s="323"/>
      <c r="G4" s="323"/>
      <c r="H4" s="323"/>
      <c r="I4" s="323"/>
      <c r="J4" s="323"/>
      <c r="K4" s="323"/>
    </row>
    <row r="6" spans="1:12" ht="15.75" thickBot="1" x14ac:dyDescent="0.3">
      <c r="C6" s="489"/>
    </row>
    <row r="7" spans="1:12" s="95" customFormat="1" ht="34.5" customHeight="1" thickBot="1" x14ac:dyDescent="0.3">
      <c r="A7" s="376"/>
      <c r="B7" s="84" t="s">
        <v>813</v>
      </c>
      <c r="C7" s="84"/>
      <c r="D7" s="84"/>
      <c r="E7" s="84"/>
      <c r="F7" s="84"/>
      <c r="G7" s="84"/>
      <c r="H7" s="84"/>
      <c r="I7" s="84"/>
      <c r="J7" s="84"/>
      <c r="K7" s="84"/>
      <c r="L7" s="315"/>
    </row>
    <row r="8" spans="1:12" s="509" customFormat="1" x14ac:dyDescent="0.25">
      <c r="B8" s="487"/>
      <c r="C8" s="1669" t="s">
        <v>701</v>
      </c>
      <c r="D8" s="1670"/>
      <c r="E8" s="1670"/>
      <c r="F8" s="1670"/>
      <c r="G8" s="1670"/>
      <c r="H8" s="1670"/>
      <c r="I8" s="1670"/>
      <c r="J8" s="1670"/>
      <c r="K8" s="1671"/>
      <c r="L8" s="487"/>
    </row>
    <row r="9" spans="1:12" s="509" customFormat="1" x14ac:dyDescent="0.25">
      <c r="B9" s="487"/>
      <c r="C9" s="1672" t="s">
        <v>181</v>
      </c>
      <c r="D9" s="1673"/>
      <c r="E9" s="1673"/>
      <c r="F9" s="1673"/>
      <c r="G9" s="1673"/>
      <c r="H9" s="1673"/>
      <c r="I9" s="1673"/>
      <c r="J9" s="1673"/>
      <c r="K9" s="1674"/>
      <c r="L9" s="487"/>
    </row>
    <row r="10" spans="1:12" s="509" customFormat="1" ht="15.75" thickBot="1" x14ac:dyDescent="0.3">
      <c r="B10" s="487"/>
      <c r="C10" s="424">
        <f ca="1">dms_y1</f>
        <v>2011</v>
      </c>
      <c r="D10" s="425">
        <f ca="1">dms_y2</f>
        <v>2012</v>
      </c>
      <c r="E10" s="425">
        <f ca="1">dms_y3</f>
        <v>2013</v>
      </c>
      <c r="F10" s="425">
        <f ca="1">dms_y4</f>
        <v>2014</v>
      </c>
      <c r="G10" s="425">
        <f ca="1">dms_y5</f>
        <v>2015</v>
      </c>
      <c r="H10" s="426">
        <f ca="1">dms_y6</f>
        <v>2016</v>
      </c>
      <c r="I10" s="426">
        <f ca="1">dms_y7</f>
        <v>2017</v>
      </c>
      <c r="J10" s="426">
        <f ca="1">dms_y8</f>
        <v>2018</v>
      </c>
      <c r="K10" s="427">
        <f ca="1">dms_y9</f>
        <v>2019</v>
      </c>
      <c r="L10" s="487"/>
    </row>
    <row r="11" spans="1:12" s="487" customFormat="1" ht="24.75" customHeight="1" x14ac:dyDescent="0.25">
      <c r="B11" s="495" t="s">
        <v>882</v>
      </c>
      <c r="C11" s="496"/>
      <c r="D11" s="496"/>
      <c r="E11" s="496"/>
      <c r="F11" s="496"/>
      <c r="G11" s="496"/>
      <c r="H11" s="496"/>
      <c r="I11" s="496"/>
      <c r="J11" s="496"/>
      <c r="K11" s="497"/>
    </row>
    <row r="12" spans="1:12" s="487" customFormat="1" x14ac:dyDescent="0.25">
      <c r="B12" s="88" t="s">
        <v>1296</v>
      </c>
      <c r="C12" s="333">
        <v>573482</v>
      </c>
      <c r="D12" s="334">
        <v>591033</v>
      </c>
      <c r="E12" s="334">
        <v>605846</v>
      </c>
      <c r="F12" s="334">
        <v>619247</v>
      </c>
      <c r="G12" s="486">
        <v>633707</v>
      </c>
      <c r="H12" s="333">
        <v>648461</v>
      </c>
      <c r="I12" s="349">
        <v>663687</v>
      </c>
      <c r="J12" s="334">
        <v>681456</v>
      </c>
      <c r="K12" s="299">
        <v>699502</v>
      </c>
    </row>
    <row r="13" spans="1:12" s="1294" customFormat="1" x14ac:dyDescent="0.25">
      <c r="B13" s="88" t="s">
        <v>1299</v>
      </c>
      <c r="C13" s="333">
        <v>591033</v>
      </c>
      <c r="D13" s="334">
        <v>605846</v>
      </c>
      <c r="E13" s="334">
        <v>619247</v>
      </c>
      <c r="F13" s="334">
        <v>633707</v>
      </c>
      <c r="G13" s="486">
        <v>648461</v>
      </c>
      <c r="H13" s="333">
        <v>663687</v>
      </c>
      <c r="I13" s="349">
        <v>681456</v>
      </c>
      <c r="J13" s="334">
        <v>699502</v>
      </c>
      <c r="K13" s="299">
        <v>719959</v>
      </c>
    </row>
    <row r="14" spans="1:12" s="487" customFormat="1" x14ac:dyDescent="0.25">
      <c r="B14" s="88" t="s">
        <v>734</v>
      </c>
      <c r="C14" s="333">
        <v>18711</v>
      </c>
      <c r="D14" s="334">
        <v>16021</v>
      </c>
      <c r="E14" s="334">
        <v>14668</v>
      </c>
      <c r="F14" s="334">
        <v>15957</v>
      </c>
      <c r="G14" s="486">
        <v>16399</v>
      </c>
      <c r="H14" s="333">
        <v>16701</v>
      </c>
      <c r="I14" s="349">
        <v>18970</v>
      </c>
      <c r="J14" s="334">
        <v>20018</v>
      </c>
      <c r="K14" s="299">
        <v>22269</v>
      </c>
    </row>
    <row r="15" spans="1:12" s="487" customFormat="1" ht="15.75" thickBot="1" x14ac:dyDescent="0.3">
      <c r="B15" s="88" t="s">
        <v>735</v>
      </c>
      <c r="C15" s="336">
        <v>1160</v>
      </c>
      <c r="D15" s="337">
        <v>1208</v>
      </c>
      <c r="E15" s="337">
        <v>1267</v>
      </c>
      <c r="F15" s="337">
        <v>1497</v>
      </c>
      <c r="G15" s="507">
        <v>1645</v>
      </c>
      <c r="H15" s="336">
        <v>1475</v>
      </c>
      <c r="I15" s="351">
        <v>1201</v>
      </c>
      <c r="J15" s="337">
        <v>1972</v>
      </c>
      <c r="K15" s="338">
        <v>1812</v>
      </c>
    </row>
    <row r="16" spans="1:12" s="521" customFormat="1" ht="24.75" customHeight="1" x14ac:dyDescent="0.25">
      <c r="B16" s="495" t="s">
        <v>880</v>
      </c>
      <c r="C16" s="496"/>
      <c r="D16" s="496"/>
      <c r="E16" s="496"/>
      <c r="F16" s="496"/>
      <c r="G16" s="496"/>
      <c r="H16" s="496"/>
      <c r="I16" s="496"/>
      <c r="J16" s="496"/>
      <c r="K16" s="497"/>
    </row>
    <row r="17" spans="2:11" s="521" customFormat="1" x14ac:dyDescent="0.25">
      <c r="B17" s="88" t="s">
        <v>1296</v>
      </c>
      <c r="C17" s="508">
        <v>16214</v>
      </c>
      <c r="D17" s="510">
        <v>16435</v>
      </c>
      <c r="E17" s="510">
        <v>16718</v>
      </c>
      <c r="F17" s="510">
        <v>16948</v>
      </c>
      <c r="G17" s="511">
        <v>17164</v>
      </c>
      <c r="H17" s="508">
        <v>17600</v>
      </c>
      <c r="I17" s="1297">
        <v>17985</v>
      </c>
      <c r="J17" s="510">
        <v>18254</v>
      </c>
      <c r="K17" s="621">
        <v>18338</v>
      </c>
    </row>
    <row r="18" spans="2:11" s="521" customFormat="1" x14ac:dyDescent="0.25">
      <c r="B18" s="88" t="s">
        <v>1299</v>
      </c>
      <c r="C18" s="333">
        <v>16435</v>
      </c>
      <c r="D18" s="334">
        <v>16718</v>
      </c>
      <c r="E18" s="334">
        <v>16948</v>
      </c>
      <c r="F18" s="334">
        <v>17164</v>
      </c>
      <c r="G18" s="486">
        <v>17600</v>
      </c>
      <c r="H18" s="333">
        <v>17985</v>
      </c>
      <c r="I18" s="349">
        <v>18254</v>
      </c>
      <c r="J18" s="334">
        <v>18338</v>
      </c>
      <c r="K18" s="299">
        <v>18496</v>
      </c>
    </row>
    <row r="19" spans="2:11" s="521" customFormat="1" x14ac:dyDescent="0.25">
      <c r="B19" s="88" t="s">
        <v>734</v>
      </c>
      <c r="C19" s="333">
        <v>324</v>
      </c>
      <c r="D19" s="334">
        <v>360</v>
      </c>
      <c r="E19" s="334">
        <v>334</v>
      </c>
      <c r="F19" s="334">
        <v>325</v>
      </c>
      <c r="G19" s="486">
        <v>543</v>
      </c>
      <c r="H19" s="333">
        <v>464</v>
      </c>
      <c r="I19" s="349">
        <v>324</v>
      </c>
      <c r="J19" s="334">
        <v>208</v>
      </c>
      <c r="K19" s="299">
        <v>244</v>
      </c>
    </row>
    <row r="20" spans="2:11" s="521" customFormat="1" ht="15.75" thickBot="1" x14ac:dyDescent="0.3">
      <c r="B20" s="88" t="s">
        <v>735</v>
      </c>
      <c r="C20" s="474">
        <v>103</v>
      </c>
      <c r="D20" s="470">
        <v>77</v>
      </c>
      <c r="E20" s="470">
        <v>104</v>
      </c>
      <c r="F20" s="470">
        <v>109</v>
      </c>
      <c r="G20" s="473">
        <v>107</v>
      </c>
      <c r="H20" s="474">
        <v>79</v>
      </c>
      <c r="I20" s="1296">
        <v>55</v>
      </c>
      <c r="J20" s="470">
        <v>124</v>
      </c>
      <c r="K20" s="471">
        <v>86</v>
      </c>
    </row>
    <row r="21" spans="2:11" s="521" customFormat="1" ht="24.75" customHeight="1" x14ac:dyDescent="0.25">
      <c r="B21" s="495" t="s">
        <v>881</v>
      </c>
      <c r="C21" s="496"/>
      <c r="D21" s="496"/>
      <c r="E21" s="496"/>
      <c r="F21" s="496"/>
      <c r="G21" s="496"/>
      <c r="H21" s="496"/>
      <c r="I21" s="496"/>
      <c r="J21" s="496"/>
      <c r="K21" s="497"/>
    </row>
    <row r="22" spans="2:11" s="487" customFormat="1" x14ac:dyDescent="0.25">
      <c r="B22" s="88" t="s">
        <v>1296</v>
      </c>
      <c r="C22" s="508">
        <v>316</v>
      </c>
      <c r="D22" s="510">
        <v>317</v>
      </c>
      <c r="E22" s="510">
        <v>320</v>
      </c>
      <c r="F22" s="510">
        <v>323</v>
      </c>
      <c r="G22" s="511">
        <v>325</v>
      </c>
      <c r="H22" s="508">
        <v>330</v>
      </c>
      <c r="I22" s="1297">
        <v>336</v>
      </c>
      <c r="J22" s="510">
        <v>340</v>
      </c>
      <c r="K22" s="621">
        <v>335</v>
      </c>
    </row>
    <row r="23" spans="2:11" s="487" customFormat="1" x14ac:dyDescent="0.25">
      <c r="B23" s="88" t="s">
        <v>1299</v>
      </c>
      <c r="C23" s="333">
        <v>317</v>
      </c>
      <c r="D23" s="334">
        <v>320</v>
      </c>
      <c r="E23" s="334">
        <v>323</v>
      </c>
      <c r="F23" s="334">
        <v>325</v>
      </c>
      <c r="G23" s="486">
        <v>330</v>
      </c>
      <c r="H23" s="333">
        <v>336</v>
      </c>
      <c r="I23" s="349">
        <v>340</v>
      </c>
      <c r="J23" s="334">
        <v>335</v>
      </c>
      <c r="K23" s="299">
        <v>336</v>
      </c>
    </row>
    <row r="24" spans="2:11" s="487" customFormat="1" x14ac:dyDescent="0.25">
      <c r="B24" s="88" t="s">
        <v>734</v>
      </c>
      <c r="C24" s="333">
        <v>4</v>
      </c>
      <c r="D24" s="334">
        <v>8</v>
      </c>
      <c r="E24" s="334">
        <v>6</v>
      </c>
      <c r="F24" s="334">
        <v>8</v>
      </c>
      <c r="G24" s="486">
        <v>9</v>
      </c>
      <c r="H24" s="333">
        <v>8</v>
      </c>
      <c r="I24" s="349">
        <v>5</v>
      </c>
      <c r="J24" s="334">
        <v>0</v>
      </c>
      <c r="K24" s="299">
        <v>4</v>
      </c>
    </row>
    <row r="25" spans="2:11" s="487" customFormat="1" ht="15.75" thickBot="1" x14ac:dyDescent="0.3">
      <c r="B25" s="622" t="s">
        <v>735</v>
      </c>
      <c r="C25" s="336">
        <v>3</v>
      </c>
      <c r="D25" s="337">
        <v>5</v>
      </c>
      <c r="E25" s="337">
        <v>3</v>
      </c>
      <c r="F25" s="337">
        <v>6</v>
      </c>
      <c r="G25" s="507">
        <v>4</v>
      </c>
      <c r="H25" s="336">
        <v>2</v>
      </c>
      <c r="I25" s="351">
        <v>1</v>
      </c>
      <c r="J25" s="337">
        <v>5</v>
      </c>
      <c r="K25" s="338">
        <v>3</v>
      </c>
    </row>
    <row r="26" spans="2:11" s="487" customFormat="1" x14ac:dyDescent="0.25">
      <c r="I26" s="1294"/>
    </row>
    <row r="27" spans="2:11" s="487" customFormat="1" x14ac:dyDescent="0.25">
      <c r="I27" s="1294"/>
    </row>
    <row r="28" spans="2:11" s="487" customFormat="1" x14ac:dyDescent="0.25">
      <c r="I28" s="1294"/>
    </row>
  </sheetData>
  <mergeCells count="2">
    <mergeCell ref="C8:K8"/>
    <mergeCell ref="C9:K9"/>
  </mergeCells>
  <pageMargins left="0.7" right="0.7" top="0.75" bottom="0.75" header="0.3" footer="0.3"/>
  <pageSetup paperSize="9" orientation="portrait" r:id="rId1"/>
  <customProperties>
    <customPr name="_pios_id" r:id="rId2"/>
    <customPr name="EpmWorksheetKeyString_GUID" r:id="rId3"/>
  </customPropertie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249977111117893"/>
  </sheetPr>
  <dimension ref="A1:L332"/>
  <sheetViews>
    <sheetView showGridLines="0" topLeftCell="B1" zoomScale="80" zoomScaleNormal="80" workbookViewId="0">
      <selection activeCell="A2" sqref="A2"/>
    </sheetView>
  </sheetViews>
  <sheetFormatPr defaultColWidth="9.140625" defaultRowHeight="15" outlineLevelRow="1" x14ac:dyDescent="0.25"/>
  <cols>
    <col min="1" max="1" width="23" style="521" customWidth="1"/>
    <col min="2" max="2" width="93" style="521" customWidth="1"/>
    <col min="3" max="5" width="20.7109375" style="521" customWidth="1"/>
    <col min="6" max="6" width="20.7109375" style="1294" customWidth="1"/>
    <col min="7" max="11" width="20.7109375" style="521" customWidth="1"/>
    <col min="12" max="12" width="13.7109375" style="521" customWidth="1"/>
    <col min="13" max="16384" width="9.140625" style="521"/>
  </cols>
  <sheetData>
    <row r="1" spans="1:12" ht="30" customHeight="1" x14ac:dyDescent="0.25">
      <c r="B1" s="103" t="str">
        <f>IF(dms_MultiYear_ResponseFlag="Yes","REGULATORY REPORTING STATEMENT - HISTORICAL INFORMATION",INDEX(dms_Worksheet_List,MATCH(dms_Model,dms_Model_List)))</f>
        <v>REGULATORY REPORTING STATEMENT - HISTORICAL INFORMATION</v>
      </c>
      <c r="C1" s="76"/>
      <c r="D1" s="76"/>
      <c r="E1" s="76"/>
      <c r="F1" s="76"/>
      <c r="G1" s="76"/>
      <c r="H1" s="76"/>
      <c r="I1" s="76"/>
      <c r="J1" s="76"/>
      <c r="K1" s="76"/>
    </row>
    <row r="2" spans="1:12" ht="30" customHeight="1" x14ac:dyDescent="0.25">
      <c r="B2" s="103" t="str">
        <f>INDEX(dms_TradingNameFull_List,MATCH(dms_TradingName,dms_TradingName_List))</f>
        <v>AusNet Gas Services</v>
      </c>
      <c r="C2" s="76"/>
      <c r="D2" s="76"/>
      <c r="E2" s="76"/>
      <c r="F2" s="76"/>
      <c r="G2" s="76"/>
      <c r="H2" s="76"/>
      <c r="I2" s="76"/>
      <c r="J2" s="76"/>
      <c r="K2" s="76"/>
    </row>
    <row r="3" spans="1:12" ht="30" customHeight="1" x14ac:dyDescent="0.25">
      <c r="B3" s="103" t="str">
        <f>CONCATENATE(CRY," to ",dms_MultiYear_FinalYear_Result)</f>
        <v>2011 to 2019</v>
      </c>
      <c r="C3" s="76"/>
      <c r="D3" s="76"/>
      <c r="E3" s="76"/>
      <c r="F3" s="76"/>
      <c r="G3" s="76"/>
      <c r="H3" s="76"/>
      <c r="I3" s="76"/>
      <c r="J3" s="76"/>
      <c r="K3" s="76"/>
    </row>
    <row r="4" spans="1:12" ht="30" customHeight="1" x14ac:dyDescent="0.25">
      <c r="B4" s="617" t="s">
        <v>736</v>
      </c>
      <c r="C4" s="617"/>
      <c r="D4" s="617"/>
      <c r="E4" s="617"/>
      <c r="F4" s="617"/>
      <c r="G4" s="617"/>
      <c r="H4" s="617"/>
      <c r="I4" s="617"/>
      <c r="J4" s="617"/>
      <c r="K4" s="617"/>
    </row>
    <row r="5" spans="1:12" ht="19.5" thickBot="1" x14ac:dyDescent="0.35">
      <c r="C5" s="616"/>
    </row>
    <row r="6" spans="1:12" s="513" customFormat="1" ht="28.5" customHeight="1" thickBot="1" x14ac:dyDescent="0.3">
      <c r="A6"/>
      <c r="B6" s="84" t="s">
        <v>857</v>
      </c>
      <c r="C6" s="84"/>
      <c r="D6" s="84"/>
      <c r="E6" s="84"/>
      <c r="F6" s="84"/>
      <c r="G6" s="84"/>
      <c r="H6" s="84"/>
      <c r="I6" s="84"/>
      <c r="J6" s="84"/>
      <c r="K6" s="84"/>
      <c r="L6" s="315"/>
    </row>
    <row r="7" spans="1:12" s="612" customFormat="1" ht="25.5" customHeight="1" thickBot="1" x14ac:dyDescent="0.3">
      <c r="A7"/>
      <c r="B7" s="311" t="s">
        <v>1297</v>
      </c>
      <c r="C7" s="312"/>
      <c r="D7" s="312"/>
      <c r="E7" s="312"/>
      <c r="F7" s="312"/>
      <c r="G7" s="312"/>
      <c r="H7" s="312"/>
      <c r="I7" s="312"/>
      <c r="J7" s="312"/>
      <c r="K7" s="313"/>
    </row>
    <row r="8" spans="1:12" s="509" customFormat="1" ht="25.5" customHeight="1" outlineLevel="1" x14ac:dyDescent="0.25">
      <c r="A8"/>
      <c r="B8" s="521"/>
      <c r="C8" s="1680" t="s">
        <v>701</v>
      </c>
      <c r="D8" s="1681"/>
      <c r="E8" s="1681"/>
      <c r="F8" s="1681"/>
      <c r="G8" s="1681"/>
      <c r="H8" s="1681"/>
      <c r="I8" s="1681"/>
      <c r="J8" s="1681"/>
      <c r="K8" s="1682"/>
      <c r="L8" s="521"/>
    </row>
    <row r="9" spans="1:12" s="509" customFormat="1" ht="18" customHeight="1" outlineLevel="1" x14ac:dyDescent="0.25">
      <c r="B9" s="116"/>
      <c r="C9" s="1683" t="s">
        <v>181</v>
      </c>
      <c r="D9" s="1684"/>
      <c r="E9" s="1684"/>
      <c r="F9" s="1684"/>
      <c r="G9" s="1684"/>
      <c r="H9" s="1684"/>
      <c r="I9" s="1684"/>
      <c r="J9" s="1684"/>
      <c r="K9" s="1685"/>
      <c r="L9" s="521"/>
    </row>
    <row r="10" spans="1:12" s="509" customFormat="1" ht="15.75" outlineLevel="1" thickBot="1" x14ac:dyDescent="0.3">
      <c r="B10" s="452"/>
      <c r="C10" s="424">
        <f ca="1">dms_y1</f>
        <v>2011</v>
      </c>
      <c r="D10" s="425">
        <f ca="1">dms_y2</f>
        <v>2012</v>
      </c>
      <c r="E10" s="425">
        <f ca="1">dms_y3</f>
        <v>2013</v>
      </c>
      <c r="F10" s="425">
        <f ca="1">dms_y4</f>
        <v>2014</v>
      </c>
      <c r="G10" s="425">
        <f ca="1">dms_y5</f>
        <v>2015</v>
      </c>
      <c r="H10" s="426">
        <f ca="1">dms_y6</f>
        <v>2016</v>
      </c>
      <c r="I10" s="426">
        <f ca="1">dms_y7</f>
        <v>2017</v>
      </c>
      <c r="J10" s="426">
        <f ca="1">dms_y8</f>
        <v>2018</v>
      </c>
      <c r="K10" s="427">
        <f ca="1">dms_y9</f>
        <v>2019</v>
      </c>
      <c r="L10" s="521"/>
    </row>
    <row r="11" spans="1:12" outlineLevel="1" x14ac:dyDescent="0.25">
      <c r="B11" s="88" t="str">
        <f>IF(ISBLANK('N1. Demand'!B20),"",'N1. Demand'!B20)</f>
        <v>Tariff V Central Domestic</v>
      </c>
      <c r="C11" s="366">
        <v>441290</v>
      </c>
      <c r="D11" s="615">
        <f t="shared" ref="D11" si="0">C93</f>
        <v>454784</v>
      </c>
      <c r="E11" s="615">
        <f t="shared" ref="E11:K11" si="1">D93</f>
        <v>465611</v>
      </c>
      <c r="F11" s="615">
        <f t="shared" si="1"/>
        <v>475481</v>
      </c>
      <c r="G11" s="615">
        <f t="shared" si="1"/>
        <v>486557</v>
      </c>
      <c r="H11" s="1304">
        <f t="shared" si="1"/>
        <v>498066</v>
      </c>
      <c r="I11" s="615">
        <f t="shared" si="1"/>
        <v>510482</v>
      </c>
      <c r="J11" s="615">
        <f t="shared" si="1"/>
        <v>525373</v>
      </c>
      <c r="K11" s="615">
        <f t="shared" si="1"/>
        <v>540541</v>
      </c>
    </row>
    <row r="12" spans="1:12" outlineLevel="1" x14ac:dyDescent="0.25">
      <c r="B12" s="88" t="str">
        <f>IF(ISBLANK('N1. Demand'!B21),"",'N1. Demand'!B21)</f>
        <v>Tariff V Central Non-Domestic</v>
      </c>
      <c r="C12" s="354">
        <v>9781</v>
      </c>
      <c r="D12" s="615">
        <f t="shared" ref="D12:D75" si="2">C94</f>
        <v>9928</v>
      </c>
      <c r="E12" s="615">
        <f t="shared" ref="E12:K12" si="3">D94</f>
        <v>10135</v>
      </c>
      <c r="F12" s="615">
        <f t="shared" si="3"/>
        <v>10316</v>
      </c>
      <c r="G12" s="615">
        <f t="shared" si="3"/>
        <v>10500</v>
      </c>
      <c r="H12" s="1304">
        <f t="shared" si="3"/>
        <v>10800</v>
      </c>
      <c r="I12" s="615">
        <f t="shared" si="3"/>
        <v>11112</v>
      </c>
      <c r="J12" s="615">
        <f t="shared" si="3"/>
        <v>11335</v>
      </c>
      <c r="K12" s="615">
        <f t="shared" si="3"/>
        <v>11423</v>
      </c>
    </row>
    <row r="13" spans="1:12" outlineLevel="1" x14ac:dyDescent="0.25">
      <c r="B13" s="88" t="str">
        <f>IF(ISBLANK('N1. Demand'!B22),"",'N1. Demand'!B22)</f>
        <v>Tariff V Adjoining Central Domestic</v>
      </c>
      <c r="C13" s="354">
        <v>927</v>
      </c>
      <c r="D13" s="615">
        <f t="shared" si="2"/>
        <v>1090</v>
      </c>
      <c r="E13" s="615">
        <f t="shared" ref="E13:K13" si="4">D95</f>
        <v>1215</v>
      </c>
      <c r="F13" s="615">
        <f t="shared" si="4"/>
        <v>1330</v>
      </c>
      <c r="G13" s="615">
        <f t="shared" si="4"/>
        <v>1420</v>
      </c>
      <c r="H13" s="1304">
        <f t="shared" si="4"/>
        <v>1513</v>
      </c>
      <c r="I13" s="615">
        <f t="shared" si="4"/>
        <v>1608</v>
      </c>
      <c r="J13" s="615">
        <f t="shared" si="4"/>
        <v>1689</v>
      </c>
      <c r="K13" s="615">
        <f t="shared" si="4"/>
        <v>1753</v>
      </c>
    </row>
    <row r="14" spans="1:12" outlineLevel="1" x14ac:dyDescent="0.25">
      <c r="B14" s="88" t="str">
        <f>IF(ISBLANK('N1. Demand'!B23),"",'N1. Demand'!B23)</f>
        <v>Tariff V Adjoining Central Non-Domestic</v>
      </c>
      <c r="C14" s="354">
        <v>9</v>
      </c>
      <c r="D14" s="615">
        <f t="shared" si="2"/>
        <v>9</v>
      </c>
      <c r="E14" s="615">
        <f t="shared" ref="E14:K14" si="5">D96</f>
        <v>11</v>
      </c>
      <c r="F14" s="615">
        <f t="shared" si="5"/>
        <v>13</v>
      </c>
      <c r="G14" s="615">
        <f t="shared" si="5"/>
        <v>14</v>
      </c>
      <c r="H14" s="1304">
        <f t="shared" si="5"/>
        <v>13</v>
      </c>
      <c r="I14" s="615">
        <f t="shared" si="5"/>
        <v>16</v>
      </c>
      <c r="J14" s="615">
        <f t="shared" si="5"/>
        <v>16</v>
      </c>
      <c r="K14" s="615">
        <f t="shared" si="5"/>
        <v>16</v>
      </c>
      <c r="L14"/>
    </row>
    <row r="15" spans="1:12" outlineLevel="1" x14ac:dyDescent="0.25">
      <c r="B15" s="88" t="str">
        <f>IF(ISBLANK('N1. Demand'!B24),"",'N1. Demand'!B24)</f>
        <v>Tariff V West Domestic</v>
      </c>
      <c r="C15" s="354">
        <v>124867</v>
      </c>
      <c r="D15" s="615">
        <f t="shared" si="2"/>
        <v>127919</v>
      </c>
      <c r="E15" s="615">
        <f t="shared" ref="E15:K15" si="6">D97</f>
        <v>131108</v>
      </c>
      <c r="F15" s="615">
        <f t="shared" si="6"/>
        <v>133932</v>
      </c>
      <c r="G15" s="615">
        <f t="shared" si="6"/>
        <v>136674</v>
      </c>
      <c r="H15" s="1304">
        <f t="shared" si="6"/>
        <v>139346</v>
      </c>
      <c r="I15" s="615">
        <f t="shared" si="6"/>
        <v>141663</v>
      </c>
      <c r="J15" s="615">
        <f t="shared" si="6"/>
        <v>144009</v>
      </c>
      <c r="K15" s="615">
        <f t="shared" si="6"/>
        <v>146360</v>
      </c>
      <c r="L15"/>
    </row>
    <row r="16" spans="1:12" outlineLevel="1" x14ac:dyDescent="0.25">
      <c r="B16" s="88" t="str">
        <f>IF(ISBLANK('N1. Demand'!B25),"",'N1. Demand'!B25)</f>
        <v>Tariff V West Non-Domestic</v>
      </c>
      <c r="C16" s="354">
        <v>6273</v>
      </c>
      <c r="D16" s="615">
        <f t="shared" si="2"/>
        <v>6322</v>
      </c>
      <c r="E16" s="615">
        <f t="shared" ref="E16:K16" si="7">D98</f>
        <v>6379</v>
      </c>
      <c r="F16" s="615">
        <f t="shared" si="7"/>
        <v>6412</v>
      </c>
      <c r="G16" s="615">
        <f t="shared" si="7"/>
        <v>6425</v>
      </c>
      <c r="H16" s="1304">
        <f t="shared" si="7"/>
        <v>6541</v>
      </c>
      <c r="I16" s="615">
        <f t="shared" si="7"/>
        <v>6589</v>
      </c>
      <c r="J16" s="615">
        <f t="shared" si="7"/>
        <v>6634</v>
      </c>
      <c r="K16" s="615">
        <f t="shared" si="7"/>
        <v>6622</v>
      </c>
      <c r="L16"/>
    </row>
    <row r="17" spans="2:12" outlineLevel="1" x14ac:dyDescent="0.25">
      <c r="B17" s="88" t="str">
        <f>IF(ISBLANK('N1. Demand'!B26),"",'N1. Demand'!B26)</f>
        <v>Tariff V Adjoining West Domestic</v>
      </c>
      <c r="C17" s="354">
        <v>6398</v>
      </c>
      <c r="D17" s="615">
        <f t="shared" si="2"/>
        <v>7240</v>
      </c>
      <c r="E17" s="615">
        <f t="shared" ref="E17:K17" si="8">D99</f>
        <v>7912</v>
      </c>
      <c r="F17" s="615">
        <f t="shared" si="8"/>
        <v>8504</v>
      </c>
      <c r="G17" s="615">
        <f t="shared" si="8"/>
        <v>9056</v>
      </c>
      <c r="H17" s="1304">
        <f t="shared" si="8"/>
        <v>9536</v>
      </c>
      <c r="I17" s="615">
        <f t="shared" si="8"/>
        <v>9934</v>
      </c>
      <c r="J17" s="615">
        <f t="shared" si="8"/>
        <v>10385</v>
      </c>
      <c r="K17" s="615">
        <f t="shared" si="8"/>
        <v>10848</v>
      </c>
      <c r="L17"/>
    </row>
    <row r="18" spans="2:12" outlineLevel="1" x14ac:dyDescent="0.25">
      <c r="B18" s="88" t="str">
        <f>IF(ISBLANK('N1. Demand'!B27),"",'N1. Demand'!B27)</f>
        <v>Tariff V Adjoining West Non-Domestic</v>
      </c>
      <c r="C18" s="354">
        <v>151</v>
      </c>
      <c r="D18" s="615">
        <f t="shared" si="2"/>
        <v>176</v>
      </c>
      <c r="E18" s="615">
        <f t="shared" ref="E18:K18" si="9">D100</f>
        <v>193</v>
      </c>
      <c r="F18" s="615">
        <f t="shared" si="9"/>
        <v>207</v>
      </c>
      <c r="G18" s="615">
        <f t="shared" si="9"/>
        <v>225</v>
      </c>
      <c r="H18" s="1304">
        <f t="shared" si="9"/>
        <v>246</v>
      </c>
      <c r="I18" s="615">
        <f t="shared" si="9"/>
        <v>268</v>
      </c>
      <c r="J18" s="615">
        <f t="shared" si="9"/>
        <v>269</v>
      </c>
      <c r="K18" s="615">
        <f t="shared" si="9"/>
        <v>277</v>
      </c>
      <c r="L18"/>
    </row>
    <row r="19" spans="2:12" outlineLevel="1" x14ac:dyDescent="0.25">
      <c r="B19" s="88" t="str">
        <f>IF(ISBLANK('N1. Demand'!B28),"",'N1. Demand'!B28)</f>
        <v>Tariff D Central</v>
      </c>
      <c r="C19" s="354">
        <v>214</v>
      </c>
      <c r="D19" s="615">
        <f t="shared" si="2"/>
        <v>215</v>
      </c>
      <c r="E19" s="615">
        <f t="shared" ref="E19:K19" si="10">D101</f>
        <v>214</v>
      </c>
      <c r="F19" s="615">
        <f t="shared" si="10"/>
        <v>215</v>
      </c>
      <c r="G19" s="615">
        <f t="shared" si="10"/>
        <v>215</v>
      </c>
      <c r="H19" s="1304">
        <f t="shared" si="10"/>
        <v>220</v>
      </c>
      <c r="I19" s="615">
        <f t="shared" si="10"/>
        <v>224</v>
      </c>
      <c r="J19" s="615">
        <f t="shared" si="10"/>
        <v>226</v>
      </c>
      <c r="K19" s="615">
        <f t="shared" si="10"/>
        <v>223</v>
      </c>
      <c r="L19"/>
    </row>
    <row r="20" spans="2:12" outlineLevel="1" x14ac:dyDescent="0.25">
      <c r="B20" s="88" t="str">
        <f>IF(ISBLANK('N1. Demand'!B29),"",'N1. Demand'!B29)</f>
        <v>Tariff D Adjoining Central</v>
      </c>
      <c r="C20" s="354">
        <v>0</v>
      </c>
      <c r="D20" s="615">
        <f t="shared" si="2"/>
        <v>1</v>
      </c>
      <c r="E20" s="615">
        <f t="shared" ref="E20:K20" si="11">D102</f>
        <v>1</v>
      </c>
      <c r="F20" s="615">
        <f t="shared" si="11"/>
        <v>1</v>
      </c>
      <c r="G20" s="615">
        <f t="shared" si="11"/>
        <v>1</v>
      </c>
      <c r="H20" s="1304">
        <f t="shared" si="11"/>
        <v>1</v>
      </c>
      <c r="I20" s="615">
        <f t="shared" si="11"/>
        <v>1</v>
      </c>
      <c r="J20" s="615">
        <f t="shared" si="11"/>
        <v>1</v>
      </c>
      <c r="K20" s="615">
        <f t="shared" si="11"/>
        <v>1</v>
      </c>
      <c r="L20"/>
    </row>
    <row r="21" spans="2:12" s="1279" customFormat="1" outlineLevel="1" x14ac:dyDescent="0.25">
      <c r="B21" s="88" t="str">
        <f>IF(ISBLANK('N1. Demand'!B30),"",'N1. Demand'!B30)</f>
        <v>Tariff D West</v>
      </c>
      <c r="C21" s="354">
        <v>70</v>
      </c>
      <c r="D21" s="615">
        <f t="shared" si="2"/>
        <v>69</v>
      </c>
      <c r="E21" s="615">
        <f t="shared" ref="E21:K21" si="12">D103</f>
        <v>71</v>
      </c>
      <c r="F21" s="615">
        <f t="shared" si="12"/>
        <v>72</v>
      </c>
      <c r="G21" s="615">
        <f t="shared" si="12"/>
        <v>74</v>
      </c>
      <c r="H21" s="1304">
        <f t="shared" si="12"/>
        <v>74</v>
      </c>
      <c r="I21" s="615">
        <f t="shared" si="12"/>
        <v>76</v>
      </c>
      <c r="J21" s="615">
        <f t="shared" si="12"/>
        <v>78</v>
      </c>
      <c r="K21" s="615">
        <f t="shared" si="12"/>
        <v>76</v>
      </c>
    </row>
    <row r="22" spans="2:12" s="1279" customFormat="1" outlineLevel="1" x14ac:dyDescent="0.25">
      <c r="B22" s="88" t="str">
        <f>IF(ISBLANK('N1. Demand'!B31),"",'N1. Demand'!B31)</f>
        <v>Tariff D Adjoining West</v>
      </c>
      <c r="C22" s="354">
        <v>1</v>
      </c>
      <c r="D22" s="615">
        <f t="shared" si="2"/>
        <v>1</v>
      </c>
      <c r="E22" s="615">
        <f t="shared" ref="E22:K22" si="13">D104</f>
        <v>1</v>
      </c>
      <c r="F22" s="615">
        <f t="shared" si="13"/>
        <v>1</v>
      </c>
      <c r="G22" s="615">
        <f t="shared" si="13"/>
        <v>1</v>
      </c>
      <c r="H22" s="1304">
        <f t="shared" si="13"/>
        <v>1</v>
      </c>
      <c r="I22" s="615">
        <f t="shared" si="13"/>
        <v>1</v>
      </c>
      <c r="J22" s="615">
        <f t="shared" si="13"/>
        <v>1</v>
      </c>
      <c r="K22" s="615">
        <f t="shared" si="13"/>
        <v>1</v>
      </c>
    </row>
    <row r="23" spans="2:12" s="1279" customFormat="1" outlineLevel="1" x14ac:dyDescent="0.25">
      <c r="B23" s="88" t="str">
        <f>IF(ISBLANK('N1. Demand'!B32),"",'N1. Demand'!B32)</f>
        <v>Tariff M Central</v>
      </c>
      <c r="C23" s="354">
        <v>25</v>
      </c>
      <c r="D23" s="615">
        <f t="shared" si="2"/>
        <v>25</v>
      </c>
      <c r="E23" s="615">
        <f t="shared" ref="E23:K23" si="14">D105</f>
        <v>27</v>
      </c>
      <c r="F23" s="615">
        <f t="shared" si="14"/>
        <v>28</v>
      </c>
      <c r="G23" s="615">
        <f t="shared" si="14"/>
        <v>28</v>
      </c>
      <c r="H23" s="1304">
        <f t="shared" si="14"/>
        <v>28</v>
      </c>
      <c r="I23" s="615">
        <f t="shared" si="14"/>
        <v>28</v>
      </c>
      <c r="J23" s="615">
        <f t="shared" si="14"/>
        <v>28</v>
      </c>
      <c r="K23" s="615">
        <f t="shared" si="14"/>
        <v>28</v>
      </c>
    </row>
    <row r="24" spans="2:12" s="1279" customFormat="1" outlineLevel="1" x14ac:dyDescent="0.25">
      <c r="B24" s="88" t="str">
        <f>IF(ISBLANK('N1. Demand'!B33),"",'N1. Demand'!B33)</f>
        <v>Tariff M Adjoining Central</v>
      </c>
      <c r="C24" s="354">
        <v>0</v>
      </c>
      <c r="D24" s="615">
        <f t="shared" si="2"/>
        <v>0</v>
      </c>
      <c r="E24" s="615">
        <f t="shared" ref="E24:K24" si="15">D106</f>
        <v>0</v>
      </c>
      <c r="F24" s="615">
        <f t="shared" si="15"/>
        <v>0</v>
      </c>
      <c r="G24" s="615">
        <f t="shared" si="15"/>
        <v>0</v>
      </c>
      <c r="H24" s="1304">
        <f t="shared" si="15"/>
        <v>0</v>
      </c>
      <c r="I24" s="615">
        <f t="shared" si="15"/>
        <v>0</v>
      </c>
      <c r="J24" s="615">
        <f t="shared" si="15"/>
        <v>0</v>
      </c>
      <c r="K24" s="615">
        <f t="shared" si="15"/>
        <v>0</v>
      </c>
    </row>
    <row r="25" spans="2:12" s="1279" customFormat="1" outlineLevel="1" x14ac:dyDescent="0.25">
      <c r="B25" s="88" t="str">
        <f>IF(ISBLANK('N1. Demand'!B34),"",'N1. Demand'!B34)</f>
        <v>Tariff M West</v>
      </c>
      <c r="C25" s="354">
        <v>6</v>
      </c>
      <c r="D25" s="615">
        <f t="shared" si="2"/>
        <v>6</v>
      </c>
      <c r="E25" s="615">
        <f t="shared" ref="E25:K25" si="16">D107</f>
        <v>6</v>
      </c>
      <c r="F25" s="615">
        <f t="shared" si="16"/>
        <v>6</v>
      </c>
      <c r="G25" s="615">
        <f t="shared" si="16"/>
        <v>6</v>
      </c>
      <c r="H25" s="1304">
        <f t="shared" si="16"/>
        <v>6</v>
      </c>
      <c r="I25" s="615">
        <f t="shared" si="16"/>
        <v>6</v>
      </c>
      <c r="J25" s="615">
        <f t="shared" si="16"/>
        <v>6</v>
      </c>
      <c r="K25" s="615">
        <f t="shared" si="16"/>
        <v>6</v>
      </c>
    </row>
    <row r="26" spans="2:12" s="1279" customFormat="1" outlineLevel="1" x14ac:dyDescent="0.25">
      <c r="B26" s="88" t="str">
        <f>IF(ISBLANK('N1. Demand'!B35),"",'N1. Demand'!B35)</f>
        <v>Tariff M Adjoining West</v>
      </c>
      <c r="C26" s="354">
        <v>0</v>
      </c>
      <c r="D26" s="615">
        <f t="shared" si="2"/>
        <v>0</v>
      </c>
      <c r="E26" s="615">
        <f t="shared" ref="E26:K26" si="17">D108</f>
        <v>0</v>
      </c>
      <c r="F26" s="615">
        <f t="shared" si="17"/>
        <v>0</v>
      </c>
      <c r="G26" s="615">
        <f t="shared" si="17"/>
        <v>0</v>
      </c>
      <c r="H26" s="1304">
        <f t="shared" si="17"/>
        <v>0</v>
      </c>
      <c r="I26" s="615">
        <f t="shared" si="17"/>
        <v>0</v>
      </c>
      <c r="J26" s="615">
        <f t="shared" si="17"/>
        <v>0</v>
      </c>
      <c r="K26" s="615">
        <f t="shared" si="17"/>
        <v>0</v>
      </c>
    </row>
    <row r="27" spans="2:12" s="1279" customFormat="1" outlineLevel="1" x14ac:dyDescent="0.25">
      <c r="B27" s="88" t="str">
        <f>IF(ISBLANK('N1. Demand'!B36),"",'N1. Demand'!B36)</f>
        <v>T17</v>
      </c>
      <c r="C27" s="354"/>
      <c r="D27" s="615">
        <f t="shared" si="2"/>
        <v>0</v>
      </c>
      <c r="E27" s="615">
        <f t="shared" ref="E27:K27" si="18">D109</f>
        <v>0</v>
      </c>
      <c r="F27" s="615">
        <f t="shared" si="18"/>
        <v>0</v>
      </c>
      <c r="G27" s="615">
        <f t="shared" si="18"/>
        <v>0</v>
      </c>
      <c r="H27" s="1304">
        <f t="shared" si="18"/>
        <v>0</v>
      </c>
      <c r="I27" s="615">
        <f t="shared" si="18"/>
        <v>0</v>
      </c>
      <c r="J27" s="615">
        <f t="shared" si="18"/>
        <v>0</v>
      </c>
      <c r="K27" s="615">
        <f t="shared" si="18"/>
        <v>0</v>
      </c>
    </row>
    <row r="28" spans="2:12" s="1279" customFormat="1" outlineLevel="1" x14ac:dyDescent="0.25">
      <c r="B28" s="88" t="str">
        <f>IF(ISBLANK('N1. Demand'!B37),"",'N1. Demand'!B37)</f>
        <v>T18</v>
      </c>
      <c r="C28" s="354"/>
      <c r="D28" s="615">
        <f t="shared" si="2"/>
        <v>0</v>
      </c>
      <c r="E28" s="615">
        <f t="shared" ref="E28:K28" si="19">D110</f>
        <v>0</v>
      </c>
      <c r="F28" s="615">
        <f t="shared" si="19"/>
        <v>0</v>
      </c>
      <c r="G28" s="615">
        <f t="shared" si="19"/>
        <v>0</v>
      </c>
      <c r="H28" s="1304">
        <f t="shared" si="19"/>
        <v>0</v>
      </c>
      <c r="I28" s="615">
        <f t="shared" si="19"/>
        <v>0</v>
      </c>
      <c r="J28" s="615">
        <f t="shared" si="19"/>
        <v>0</v>
      </c>
      <c r="K28" s="615">
        <f t="shared" si="19"/>
        <v>0</v>
      </c>
    </row>
    <row r="29" spans="2:12" s="1279" customFormat="1" outlineLevel="1" x14ac:dyDescent="0.25">
      <c r="B29" s="88" t="str">
        <f>IF(ISBLANK('N1. Demand'!B38),"",'N1. Demand'!B38)</f>
        <v>T19</v>
      </c>
      <c r="C29" s="354"/>
      <c r="D29" s="615">
        <f t="shared" si="2"/>
        <v>0</v>
      </c>
      <c r="E29" s="615">
        <f t="shared" ref="E29:K29" si="20">D111</f>
        <v>0</v>
      </c>
      <c r="F29" s="615">
        <f t="shared" si="20"/>
        <v>0</v>
      </c>
      <c r="G29" s="615">
        <f t="shared" si="20"/>
        <v>0</v>
      </c>
      <c r="H29" s="1304">
        <f t="shared" si="20"/>
        <v>0</v>
      </c>
      <c r="I29" s="615">
        <f t="shared" si="20"/>
        <v>0</v>
      </c>
      <c r="J29" s="615">
        <f t="shared" si="20"/>
        <v>0</v>
      </c>
      <c r="K29" s="615">
        <f t="shared" si="20"/>
        <v>0</v>
      </c>
    </row>
    <row r="30" spans="2:12" s="1279" customFormat="1" outlineLevel="1" x14ac:dyDescent="0.25">
      <c r="B30" s="88" t="str">
        <f>IF(ISBLANK('N1. Demand'!B39),"",'N1. Demand'!B39)</f>
        <v>T20</v>
      </c>
      <c r="C30" s="354"/>
      <c r="D30" s="615">
        <f t="shared" si="2"/>
        <v>0</v>
      </c>
      <c r="E30" s="615">
        <f t="shared" ref="E30:K30" si="21">D112</f>
        <v>0</v>
      </c>
      <c r="F30" s="615">
        <f t="shared" si="21"/>
        <v>0</v>
      </c>
      <c r="G30" s="615">
        <f t="shared" si="21"/>
        <v>0</v>
      </c>
      <c r="H30" s="1304">
        <f t="shared" si="21"/>
        <v>0</v>
      </c>
      <c r="I30" s="615">
        <f t="shared" si="21"/>
        <v>0</v>
      </c>
      <c r="J30" s="615">
        <f t="shared" si="21"/>
        <v>0</v>
      </c>
      <c r="K30" s="615">
        <f t="shared" si="21"/>
        <v>0</v>
      </c>
    </row>
    <row r="31" spans="2:12" s="1279" customFormat="1" outlineLevel="1" x14ac:dyDescent="0.25">
      <c r="B31" s="88" t="str">
        <f>IF(ISBLANK('N1. Demand'!B40),"",'N1. Demand'!B40)</f>
        <v>T21</v>
      </c>
      <c r="C31" s="354"/>
      <c r="D31" s="615">
        <f t="shared" si="2"/>
        <v>0</v>
      </c>
      <c r="E31" s="615">
        <f t="shared" ref="E31:K31" si="22">D113</f>
        <v>0</v>
      </c>
      <c r="F31" s="615">
        <f t="shared" si="22"/>
        <v>0</v>
      </c>
      <c r="G31" s="615">
        <f t="shared" si="22"/>
        <v>0</v>
      </c>
      <c r="H31" s="1304">
        <f t="shared" si="22"/>
        <v>0</v>
      </c>
      <c r="I31" s="615">
        <f t="shared" si="22"/>
        <v>0</v>
      </c>
      <c r="J31" s="615">
        <f t="shared" si="22"/>
        <v>0</v>
      </c>
      <c r="K31" s="615">
        <f t="shared" si="22"/>
        <v>0</v>
      </c>
    </row>
    <row r="32" spans="2:12" s="1279" customFormat="1" outlineLevel="1" x14ac:dyDescent="0.25">
      <c r="B32" s="88" t="str">
        <f>IF(ISBLANK('N1. Demand'!B41),"",'N1. Demand'!B41)</f>
        <v>T22</v>
      </c>
      <c r="C32" s="354"/>
      <c r="D32" s="615">
        <f t="shared" si="2"/>
        <v>0</v>
      </c>
      <c r="E32" s="615">
        <f t="shared" ref="E32:K32" si="23">D114</f>
        <v>0</v>
      </c>
      <c r="F32" s="615">
        <f t="shared" si="23"/>
        <v>0</v>
      </c>
      <c r="G32" s="615">
        <f t="shared" si="23"/>
        <v>0</v>
      </c>
      <c r="H32" s="1304">
        <f t="shared" si="23"/>
        <v>0</v>
      </c>
      <c r="I32" s="615">
        <f t="shared" si="23"/>
        <v>0</v>
      </c>
      <c r="J32" s="615">
        <f t="shared" si="23"/>
        <v>0</v>
      </c>
      <c r="K32" s="615">
        <f t="shared" si="23"/>
        <v>0</v>
      </c>
    </row>
    <row r="33" spans="2:12" s="1279" customFormat="1" outlineLevel="1" x14ac:dyDescent="0.25">
      <c r="B33" s="88" t="str">
        <f>IF(ISBLANK('N1. Demand'!B42),"",'N1. Demand'!B42)</f>
        <v>T23</v>
      </c>
      <c r="C33" s="354"/>
      <c r="D33" s="615">
        <f t="shared" si="2"/>
        <v>0</v>
      </c>
      <c r="E33" s="615">
        <f t="shared" ref="E33:K33" si="24">D115</f>
        <v>0</v>
      </c>
      <c r="F33" s="615">
        <f t="shared" si="24"/>
        <v>0</v>
      </c>
      <c r="G33" s="615">
        <f t="shared" si="24"/>
        <v>0</v>
      </c>
      <c r="H33" s="1304">
        <f t="shared" si="24"/>
        <v>0</v>
      </c>
      <c r="I33" s="615">
        <f t="shared" si="24"/>
        <v>0</v>
      </c>
      <c r="J33" s="615">
        <f t="shared" si="24"/>
        <v>0</v>
      </c>
      <c r="K33" s="615">
        <f t="shared" si="24"/>
        <v>0</v>
      </c>
    </row>
    <row r="34" spans="2:12" s="1279" customFormat="1" outlineLevel="1" x14ac:dyDescent="0.25">
      <c r="B34" s="88" t="str">
        <f>IF(ISBLANK('N1. Demand'!B43),"",'N1. Demand'!B43)</f>
        <v>T24</v>
      </c>
      <c r="C34" s="354"/>
      <c r="D34" s="615">
        <f t="shared" si="2"/>
        <v>0</v>
      </c>
      <c r="E34" s="615">
        <f t="shared" ref="E34:K34" si="25">D116</f>
        <v>0</v>
      </c>
      <c r="F34" s="615">
        <f t="shared" si="25"/>
        <v>0</v>
      </c>
      <c r="G34" s="615">
        <f t="shared" si="25"/>
        <v>0</v>
      </c>
      <c r="H34" s="1304">
        <f t="shared" si="25"/>
        <v>0</v>
      </c>
      <c r="I34" s="615">
        <f t="shared" si="25"/>
        <v>0</v>
      </c>
      <c r="J34" s="615">
        <f t="shared" si="25"/>
        <v>0</v>
      </c>
      <c r="K34" s="615">
        <f t="shared" si="25"/>
        <v>0</v>
      </c>
    </row>
    <row r="35" spans="2:12" s="1279" customFormat="1" outlineLevel="1" x14ac:dyDescent="0.25">
      <c r="B35" s="88" t="str">
        <f>IF(ISBLANK('N1. Demand'!B44),"",'N1. Demand'!B44)</f>
        <v>T25</v>
      </c>
      <c r="C35" s="354"/>
      <c r="D35" s="615">
        <f t="shared" si="2"/>
        <v>0</v>
      </c>
      <c r="E35" s="615">
        <f t="shared" ref="E35:K35" si="26">D117</f>
        <v>0</v>
      </c>
      <c r="F35" s="615">
        <f t="shared" si="26"/>
        <v>0</v>
      </c>
      <c r="G35" s="615">
        <f t="shared" si="26"/>
        <v>0</v>
      </c>
      <c r="H35" s="1304">
        <f t="shared" si="26"/>
        <v>0</v>
      </c>
      <c r="I35" s="615">
        <f t="shared" si="26"/>
        <v>0</v>
      </c>
      <c r="J35" s="615">
        <f t="shared" si="26"/>
        <v>0</v>
      </c>
      <c r="K35" s="615">
        <f t="shared" si="26"/>
        <v>0</v>
      </c>
    </row>
    <row r="36" spans="2:12" s="1279" customFormat="1" outlineLevel="1" x14ac:dyDescent="0.25">
      <c r="B36" s="88" t="str">
        <f>IF(ISBLANK('N1. Demand'!B45),"",'N1. Demand'!B45)</f>
        <v>T26</v>
      </c>
      <c r="C36" s="354"/>
      <c r="D36" s="615">
        <f t="shared" si="2"/>
        <v>0</v>
      </c>
      <c r="E36" s="615">
        <f t="shared" ref="E36:K36" si="27">D118</f>
        <v>0</v>
      </c>
      <c r="F36" s="615">
        <f t="shared" si="27"/>
        <v>0</v>
      </c>
      <c r="G36" s="615">
        <f t="shared" si="27"/>
        <v>0</v>
      </c>
      <c r="H36" s="1304">
        <f t="shared" si="27"/>
        <v>0</v>
      </c>
      <c r="I36" s="615">
        <f t="shared" si="27"/>
        <v>0</v>
      </c>
      <c r="J36" s="615">
        <f t="shared" si="27"/>
        <v>0</v>
      </c>
      <c r="K36" s="615">
        <f t="shared" si="27"/>
        <v>0</v>
      </c>
    </row>
    <row r="37" spans="2:12" s="1279" customFormat="1" outlineLevel="1" x14ac:dyDescent="0.25">
      <c r="B37" s="88" t="str">
        <f>IF(ISBLANK('N1. Demand'!B46),"",'N1. Demand'!B46)</f>
        <v>T27</v>
      </c>
      <c r="C37" s="354"/>
      <c r="D37" s="615">
        <f t="shared" si="2"/>
        <v>0</v>
      </c>
      <c r="E37" s="615">
        <f t="shared" ref="E37:K37" si="28">D119</f>
        <v>0</v>
      </c>
      <c r="F37" s="615">
        <f t="shared" si="28"/>
        <v>0</v>
      </c>
      <c r="G37" s="615">
        <f t="shared" si="28"/>
        <v>0</v>
      </c>
      <c r="H37" s="1304">
        <f t="shared" si="28"/>
        <v>0</v>
      </c>
      <c r="I37" s="615">
        <f t="shared" si="28"/>
        <v>0</v>
      </c>
      <c r="J37" s="615">
        <f t="shared" si="28"/>
        <v>0</v>
      </c>
      <c r="K37" s="615">
        <f t="shared" si="28"/>
        <v>0</v>
      </c>
    </row>
    <row r="38" spans="2:12" s="1279" customFormat="1" outlineLevel="1" x14ac:dyDescent="0.25">
      <c r="B38" s="88" t="str">
        <f>IF(ISBLANK('N1. Demand'!B47),"",'N1. Demand'!B47)</f>
        <v>T28</v>
      </c>
      <c r="C38" s="354"/>
      <c r="D38" s="615">
        <f t="shared" si="2"/>
        <v>0</v>
      </c>
      <c r="E38" s="615">
        <f t="shared" ref="E38:K38" si="29">D120</f>
        <v>0</v>
      </c>
      <c r="F38" s="615">
        <f t="shared" si="29"/>
        <v>0</v>
      </c>
      <c r="G38" s="615">
        <f t="shared" si="29"/>
        <v>0</v>
      </c>
      <c r="H38" s="1304">
        <f t="shared" si="29"/>
        <v>0</v>
      </c>
      <c r="I38" s="615">
        <f t="shared" si="29"/>
        <v>0</v>
      </c>
      <c r="J38" s="615">
        <f t="shared" si="29"/>
        <v>0</v>
      </c>
      <c r="K38" s="615">
        <f t="shared" si="29"/>
        <v>0</v>
      </c>
    </row>
    <row r="39" spans="2:12" s="1279" customFormat="1" outlineLevel="1" x14ac:dyDescent="0.25">
      <c r="B39" s="88" t="str">
        <f>IF(ISBLANK('N1. Demand'!B48),"",'N1. Demand'!B48)</f>
        <v>T29</v>
      </c>
      <c r="C39" s="354"/>
      <c r="D39" s="615">
        <f t="shared" si="2"/>
        <v>0</v>
      </c>
      <c r="E39" s="615">
        <f t="shared" ref="E39:K39" si="30">D121</f>
        <v>0</v>
      </c>
      <c r="F39" s="615">
        <f t="shared" si="30"/>
        <v>0</v>
      </c>
      <c r="G39" s="615">
        <f t="shared" si="30"/>
        <v>0</v>
      </c>
      <c r="H39" s="1304">
        <f t="shared" si="30"/>
        <v>0</v>
      </c>
      <c r="I39" s="615">
        <f t="shared" si="30"/>
        <v>0</v>
      </c>
      <c r="J39" s="615">
        <f t="shared" si="30"/>
        <v>0</v>
      </c>
      <c r="K39" s="615">
        <f t="shared" si="30"/>
        <v>0</v>
      </c>
    </row>
    <row r="40" spans="2:12" s="1279" customFormat="1" outlineLevel="1" x14ac:dyDescent="0.25">
      <c r="B40" s="88" t="str">
        <f>IF(ISBLANK('N1. Demand'!B49),"",'N1. Demand'!B49)</f>
        <v>T30</v>
      </c>
      <c r="C40" s="354"/>
      <c r="D40" s="615">
        <f t="shared" si="2"/>
        <v>0</v>
      </c>
      <c r="E40" s="615">
        <f t="shared" ref="E40:K40" si="31">D122</f>
        <v>0</v>
      </c>
      <c r="F40" s="615">
        <f t="shared" si="31"/>
        <v>0</v>
      </c>
      <c r="G40" s="615">
        <f t="shared" si="31"/>
        <v>0</v>
      </c>
      <c r="H40" s="1304">
        <f t="shared" si="31"/>
        <v>0</v>
      </c>
      <c r="I40" s="615">
        <f t="shared" si="31"/>
        <v>0</v>
      </c>
      <c r="J40" s="615">
        <f t="shared" si="31"/>
        <v>0</v>
      </c>
      <c r="K40" s="615">
        <f t="shared" si="31"/>
        <v>0</v>
      </c>
    </row>
    <row r="41" spans="2:12" s="1279" customFormat="1" outlineLevel="1" x14ac:dyDescent="0.25">
      <c r="B41" s="88" t="str">
        <f>IF(ISBLANK('N1. Demand'!B50),"",'N1. Demand'!B50)</f>
        <v>T31</v>
      </c>
      <c r="C41" s="354"/>
      <c r="D41" s="615">
        <f t="shared" si="2"/>
        <v>0</v>
      </c>
      <c r="E41" s="615">
        <f t="shared" ref="E41:K41" si="32">D123</f>
        <v>0</v>
      </c>
      <c r="F41" s="615">
        <f t="shared" si="32"/>
        <v>0</v>
      </c>
      <c r="G41" s="615">
        <f t="shared" si="32"/>
        <v>0</v>
      </c>
      <c r="H41" s="1304">
        <f t="shared" si="32"/>
        <v>0</v>
      </c>
      <c r="I41" s="615">
        <f t="shared" si="32"/>
        <v>0</v>
      </c>
      <c r="J41" s="615">
        <f t="shared" si="32"/>
        <v>0</v>
      </c>
      <c r="K41" s="615">
        <f t="shared" si="32"/>
        <v>0</v>
      </c>
    </row>
    <row r="42" spans="2:12" s="1279" customFormat="1" outlineLevel="1" x14ac:dyDescent="0.25">
      <c r="B42" s="88" t="str">
        <f>IF(ISBLANK('N1. Demand'!B51),"",'N1. Demand'!B51)</f>
        <v>T32</v>
      </c>
      <c r="C42" s="354"/>
      <c r="D42" s="615">
        <f t="shared" si="2"/>
        <v>0</v>
      </c>
      <c r="E42" s="615">
        <f t="shared" ref="E42:K42" si="33">D124</f>
        <v>0</v>
      </c>
      <c r="F42" s="615">
        <f t="shared" si="33"/>
        <v>0</v>
      </c>
      <c r="G42" s="615">
        <f t="shared" si="33"/>
        <v>0</v>
      </c>
      <c r="H42" s="1304">
        <f t="shared" si="33"/>
        <v>0</v>
      </c>
      <c r="I42" s="615">
        <f t="shared" si="33"/>
        <v>0</v>
      </c>
      <c r="J42" s="615">
        <f t="shared" si="33"/>
        <v>0</v>
      </c>
      <c r="K42" s="615">
        <f t="shared" si="33"/>
        <v>0</v>
      </c>
    </row>
    <row r="43" spans="2:12" s="1279" customFormat="1" outlineLevel="1" x14ac:dyDescent="0.25">
      <c r="B43" s="88" t="str">
        <f>IF(ISBLANK('N1. Demand'!B52),"",'N1. Demand'!B52)</f>
        <v>T33</v>
      </c>
      <c r="C43" s="354"/>
      <c r="D43" s="615">
        <f t="shared" si="2"/>
        <v>0</v>
      </c>
      <c r="E43" s="615">
        <f t="shared" ref="E43:K43" si="34">D125</f>
        <v>0</v>
      </c>
      <c r="F43" s="615">
        <f t="shared" si="34"/>
        <v>0</v>
      </c>
      <c r="G43" s="615">
        <f t="shared" si="34"/>
        <v>0</v>
      </c>
      <c r="H43" s="1304">
        <f t="shared" si="34"/>
        <v>0</v>
      </c>
      <c r="I43" s="615">
        <f t="shared" si="34"/>
        <v>0</v>
      </c>
      <c r="J43" s="615">
        <f t="shared" si="34"/>
        <v>0</v>
      </c>
      <c r="K43" s="615">
        <f t="shared" si="34"/>
        <v>0</v>
      </c>
    </row>
    <row r="44" spans="2:12" s="1279" customFormat="1" outlineLevel="1" x14ac:dyDescent="0.25">
      <c r="B44" s="88" t="str">
        <f>IF(ISBLANK('N1. Demand'!B53),"",'N1. Demand'!B53)</f>
        <v>T34</v>
      </c>
      <c r="C44" s="354"/>
      <c r="D44" s="615">
        <f t="shared" si="2"/>
        <v>0</v>
      </c>
      <c r="E44" s="615">
        <f t="shared" ref="E44:K44" si="35">D126</f>
        <v>0</v>
      </c>
      <c r="F44" s="615">
        <f t="shared" si="35"/>
        <v>0</v>
      </c>
      <c r="G44" s="615">
        <f t="shared" si="35"/>
        <v>0</v>
      </c>
      <c r="H44" s="1304">
        <f t="shared" si="35"/>
        <v>0</v>
      </c>
      <c r="I44" s="615">
        <f t="shared" si="35"/>
        <v>0</v>
      </c>
      <c r="J44" s="615">
        <f t="shared" si="35"/>
        <v>0</v>
      </c>
      <c r="K44" s="615">
        <f t="shared" si="35"/>
        <v>0</v>
      </c>
    </row>
    <row r="45" spans="2:12" s="1279" customFormat="1" outlineLevel="1" x14ac:dyDescent="0.25">
      <c r="B45" s="88" t="str">
        <f>IF(ISBLANK('N1. Demand'!B54),"",'N1. Demand'!B54)</f>
        <v>T35</v>
      </c>
      <c r="C45" s="354"/>
      <c r="D45" s="615">
        <f t="shared" si="2"/>
        <v>0</v>
      </c>
      <c r="E45" s="615">
        <f t="shared" ref="E45:K45" si="36">D127</f>
        <v>0</v>
      </c>
      <c r="F45" s="615">
        <f t="shared" si="36"/>
        <v>0</v>
      </c>
      <c r="G45" s="615">
        <f t="shared" si="36"/>
        <v>0</v>
      </c>
      <c r="H45" s="1304">
        <f t="shared" si="36"/>
        <v>0</v>
      </c>
      <c r="I45" s="615">
        <f t="shared" si="36"/>
        <v>0</v>
      </c>
      <c r="J45" s="615">
        <f t="shared" si="36"/>
        <v>0</v>
      </c>
      <c r="K45" s="615">
        <f t="shared" si="36"/>
        <v>0</v>
      </c>
    </row>
    <row r="46" spans="2:12" outlineLevel="1" x14ac:dyDescent="0.25">
      <c r="B46" s="88" t="str">
        <f>IF(ISBLANK('N1. Demand'!B55),"",'N1. Demand'!B55)</f>
        <v>T36</v>
      </c>
      <c r="C46" s="354"/>
      <c r="D46" s="615">
        <f t="shared" si="2"/>
        <v>0</v>
      </c>
      <c r="E46" s="615">
        <f t="shared" ref="E46:K46" si="37">D128</f>
        <v>0</v>
      </c>
      <c r="F46" s="615">
        <f t="shared" si="37"/>
        <v>0</v>
      </c>
      <c r="G46" s="615">
        <f t="shared" si="37"/>
        <v>0</v>
      </c>
      <c r="H46" s="1304">
        <f t="shared" si="37"/>
        <v>0</v>
      </c>
      <c r="I46" s="615">
        <f t="shared" si="37"/>
        <v>0</v>
      </c>
      <c r="J46" s="615">
        <f t="shared" si="37"/>
        <v>0</v>
      </c>
      <c r="K46" s="615">
        <f t="shared" si="37"/>
        <v>0</v>
      </c>
      <c r="L46"/>
    </row>
    <row r="47" spans="2:12" outlineLevel="1" x14ac:dyDescent="0.25">
      <c r="B47" s="88" t="str">
        <f>IF(ISBLANK('N1. Demand'!B56),"",'N1. Demand'!B56)</f>
        <v>T37</v>
      </c>
      <c r="C47" s="354"/>
      <c r="D47" s="615">
        <f t="shared" si="2"/>
        <v>0</v>
      </c>
      <c r="E47" s="615">
        <f t="shared" ref="E47:K47" si="38">D129</f>
        <v>0</v>
      </c>
      <c r="F47" s="615">
        <f t="shared" si="38"/>
        <v>0</v>
      </c>
      <c r="G47" s="615">
        <f t="shared" si="38"/>
        <v>0</v>
      </c>
      <c r="H47" s="1304">
        <f t="shared" si="38"/>
        <v>0</v>
      </c>
      <c r="I47" s="615">
        <f t="shared" si="38"/>
        <v>0</v>
      </c>
      <c r="J47" s="615">
        <f t="shared" si="38"/>
        <v>0</v>
      </c>
      <c r="K47" s="615">
        <f t="shared" si="38"/>
        <v>0</v>
      </c>
      <c r="L47"/>
    </row>
    <row r="48" spans="2:12" outlineLevel="1" x14ac:dyDescent="0.25">
      <c r="B48" s="88" t="str">
        <f>IF(ISBLANK('N1. Demand'!B57),"",'N1. Demand'!B57)</f>
        <v>T38</v>
      </c>
      <c r="C48" s="354"/>
      <c r="D48" s="615">
        <f t="shared" si="2"/>
        <v>0</v>
      </c>
      <c r="E48" s="615">
        <f t="shared" ref="E48:K48" si="39">D130</f>
        <v>0</v>
      </c>
      <c r="F48" s="615">
        <f t="shared" si="39"/>
        <v>0</v>
      </c>
      <c r="G48" s="615">
        <f t="shared" si="39"/>
        <v>0</v>
      </c>
      <c r="H48" s="1304">
        <f t="shared" si="39"/>
        <v>0</v>
      </c>
      <c r="I48" s="615">
        <f t="shared" si="39"/>
        <v>0</v>
      </c>
      <c r="J48" s="615">
        <f t="shared" si="39"/>
        <v>0</v>
      </c>
      <c r="K48" s="615">
        <f t="shared" si="39"/>
        <v>0</v>
      </c>
      <c r="L48"/>
    </row>
    <row r="49" spans="2:12" outlineLevel="1" x14ac:dyDescent="0.25">
      <c r="B49" s="88" t="str">
        <f>IF(ISBLANK('N1. Demand'!B58),"",'N1. Demand'!B58)</f>
        <v>T39</v>
      </c>
      <c r="C49" s="354"/>
      <c r="D49" s="615">
        <f t="shared" si="2"/>
        <v>0</v>
      </c>
      <c r="E49" s="615">
        <f t="shared" ref="E49:K49" si="40">D131</f>
        <v>0</v>
      </c>
      <c r="F49" s="615">
        <f t="shared" si="40"/>
        <v>0</v>
      </c>
      <c r="G49" s="615">
        <f t="shared" si="40"/>
        <v>0</v>
      </c>
      <c r="H49" s="1304">
        <f t="shared" si="40"/>
        <v>0</v>
      </c>
      <c r="I49" s="615">
        <f t="shared" si="40"/>
        <v>0</v>
      </c>
      <c r="J49" s="615">
        <f t="shared" si="40"/>
        <v>0</v>
      </c>
      <c r="K49" s="615">
        <f t="shared" si="40"/>
        <v>0</v>
      </c>
      <c r="L49"/>
    </row>
    <row r="50" spans="2:12" outlineLevel="1" x14ac:dyDescent="0.25">
      <c r="B50" s="88" t="str">
        <f>IF(ISBLANK('N1. Demand'!B59),"",'N1. Demand'!B59)</f>
        <v>T40</v>
      </c>
      <c r="C50" s="354"/>
      <c r="D50" s="615">
        <f t="shared" si="2"/>
        <v>0</v>
      </c>
      <c r="E50" s="615">
        <f t="shared" ref="E50:K50" si="41">D132</f>
        <v>0</v>
      </c>
      <c r="F50" s="615">
        <f t="shared" si="41"/>
        <v>0</v>
      </c>
      <c r="G50" s="615">
        <f t="shared" si="41"/>
        <v>0</v>
      </c>
      <c r="H50" s="1304">
        <f t="shared" si="41"/>
        <v>0</v>
      </c>
      <c r="I50" s="615">
        <f t="shared" si="41"/>
        <v>0</v>
      </c>
      <c r="J50" s="615">
        <f t="shared" si="41"/>
        <v>0</v>
      </c>
      <c r="K50" s="615">
        <f t="shared" si="41"/>
        <v>0</v>
      </c>
      <c r="L50"/>
    </row>
    <row r="51" spans="2:12" outlineLevel="1" x14ac:dyDescent="0.25">
      <c r="B51" s="88" t="str">
        <f>IF(ISBLANK('N1. Demand'!B60),"",'N1. Demand'!B60)</f>
        <v>T41</v>
      </c>
      <c r="C51" s="354"/>
      <c r="D51" s="615">
        <f t="shared" si="2"/>
        <v>0</v>
      </c>
      <c r="E51" s="615">
        <f t="shared" ref="E51:K51" si="42">D133</f>
        <v>0</v>
      </c>
      <c r="F51" s="615">
        <f t="shared" si="42"/>
        <v>0</v>
      </c>
      <c r="G51" s="615">
        <f t="shared" si="42"/>
        <v>0</v>
      </c>
      <c r="H51" s="1304">
        <f t="shared" si="42"/>
        <v>0</v>
      </c>
      <c r="I51" s="615">
        <f t="shared" si="42"/>
        <v>0</v>
      </c>
      <c r="J51" s="615">
        <f t="shared" si="42"/>
        <v>0</v>
      </c>
      <c r="K51" s="615">
        <f t="shared" si="42"/>
        <v>0</v>
      </c>
      <c r="L51"/>
    </row>
    <row r="52" spans="2:12" outlineLevel="1" x14ac:dyDescent="0.25">
      <c r="B52" s="88" t="str">
        <f>IF(ISBLANK('N1. Demand'!B61),"",'N1. Demand'!B61)</f>
        <v>T42</v>
      </c>
      <c r="C52" s="354"/>
      <c r="D52" s="615">
        <f t="shared" si="2"/>
        <v>0</v>
      </c>
      <c r="E52" s="615">
        <f t="shared" ref="E52:K52" si="43">D134</f>
        <v>0</v>
      </c>
      <c r="F52" s="615">
        <f t="shared" si="43"/>
        <v>0</v>
      </c>
      <c r="G52" s="615">
        <f t="shared" si="43"/>
        <v>0</v>
      </c>
      <c r="H52" s="1304">
        <f t="shared" si="43"/>
        <v>0</v>
      </c>
      <c r="I52" s="615">
        <f t="shared" si="43"/>
        <v>0</v>
      </c>
      <c r="J52" s="615">
        <f t="shared" si="43"/>
        <v>0</v>
      </c>
      <c r="K52" s="615">
        <f t="shared" si="43"/>
        <v>0</v>
      </c>
    </row>
    <row r="53" spans="2:12" outlineLevel="1" x14ac:dyDescent="0.25">
      <c r="B53" s="88" t="str">
        <f>IF(ISBLANK('N1. Demand'!B62),"",'N1. Demand'!B62)</f>
        <v>T43</v>
      </c>
      <c r="C53" s="354"/>
      <c r="D53" s="615">
        <f t="shared" si="2"/>
        <v>0</v>
      </c>
      <c r="E53" s="615">
        <f t="shared" ref="E53:K53" si="44">D135</f>
        <v>0</v>
      </c>
      <c r="F53" s="615">
        <f t="shared" si="44"/>
        <v>0</v>
      </c>
      <c r="G53" s="615">
        <f t="shared" si="44"/>
        <v>0</v>
      </c>
      <c r="H53" s="1304">
        <f t="shared" si="44"/>
        <v>0</v>
      </c>
      <c r="I53" s="615">
        <f t="shared" si="44"/>
        <v>0</v>
      </c>
      <c r="J53" s="615">
        <f t="shared" si="44"/>
        <v>0</v>
      </c>
      <c r="K53" s="615">
        <f t="shared" si="44"/>
        <v>0</v>
      </c>
    </row>
    <row r="54" spans="2:12" outlineLevel="1" x14ac:dyDescent="0.25">
      <c r="B54" s="88" t="str">
        <f>IF(ISBLANK('N1. Demand'!B63),"",'N1. Demand'!B63)</f>
        <v>T44</v>
      </c>
      <c r="C54" s="354"/>
      <c r="D54" s="615">
        <f t="shared" si="2"/>
        <v>0</v>
      </c>
      <c r="E54" s="615">
        <f t="shared" ref="E54:K54" si="45">D136</f>
        <v>0</v>
      </c>
      <c r="F54" s="615">
        <f t="shared" si="45"/>
        <v>0</v>
      </c>
      <c r="G54" s="615">
        <f t="shared" si="45"/>
        <v>0</v>
      </c>
      <c r="H54" s="1304">
        <f t="shared" si="45"/>
        <v>0</v>
      </c>
      <c r="I54" s="615">
        <f t="shared" si="45"/>
        <v>0</v>
      </c>
      <c r="J54" s="615">
        <f t="shared" si="45"/>
        <v>0</v>
      </c>
      <c r="K54" s="615">
        <f t="shared" si="45"/>
        <v>0</v>
      </c>
    </row>
    <row r="55" spans="2:12" outlineLevel="1" x14ac:dyDescent="0.25">
      <c r="B55" s="88" t="str">
        <f>IF(ISBLANK('N1. Demand'!B64),"",'N1. Demand'!B64)</f>
        <v>T45</v>
      </c>
      <c r="C55" s="354"/>
      <c r="D55" s="615">
        <f t="shared" si="2"/>
        <v>0</v>
      </c>
      <c r="E55" s="615">
        <f t="shared" ref="E55:K55" si="46">D137</f>
        <v>0</v>
      </c>
      <c r="F55" s="615">
        <f t="shared" si="46"/>
        <v>0</v>
      </c>
      <c r="G55" s="615">
        <f t="shared" si="46"/>
        <v>0</v>
      </c>
      <c r="H55" s="1304">
        <f t="shared" si="46"/>
        <v>0</v>
      </c>
      <c r="I55" s="615">
        <f t="shared" si="46"/>
        <v>0</v>
      </c>
      <c r="J55" s="615">
        <f t="shared" si="46"/>
        <v>0</v>
      </c>
      <c r="K55" s="615">
        <f t="shared" si="46"/>
        <v>0</v>
      </c>
    </row>
    <row r="56" spans="2:12" outlineLevel="1" x14ac:dyDescent="0.25">
      <c r="B56" s="88" t="str">
        <f>IF(ISBLANK('N1. Demand'!B65),"",'N1. Demand'!B65)</f>
        <v>T46</v>
      </c>
      <c r="C56" s="354"/>
      <c r="D56" s="615">
        <f t="shared" si="2"/>
        <v>0</v>
      </c>
      <c r="E56" s="615">
        <f t="shared" ref="E56:K56" si="47">D138</f>
        <v>0</v>
      </c>
      <c r="F56" s="615">
        <f t="shared" si="47"/>
        <v>0</v>
      </c>
      <c r="G56" s="615">
        <f t="shared" si="47"/>
        <v>0</v>
      </c>
      <c r="H56" s="1304">
        <f t="shared" si="47"/>
        <v>0</v>
      </c>
      <c r="I56" s="615">
        <f t="shared" si="47"/>
        <v>0</v>
      </c>
      <c r="J56" s="615">
        <f t="shared" si="47"/>
        <v>0</v>
      </c>
      <c r="K56" s="615">
        <f t="shared" si="47"/>
        <v>0</v>
      </c>
    </row>
    <row r="57" spans="2:12" outlineLevel="1" x14ac:dyDescent="0.25">
      <c r="B57" s="88" t="str">
        <f>IF(ISBLANK('N1. Demand'!B66),"",'N1. Demand'!B66)</f>
        <v>T47</v>
      </c>
      <c r="C57" s="354"/>
      <c r="D57" s="615">
        <f t="shared" si="2"/>
        <v>0</v>
      </c>
      <c r="E57" s="615">
        <f t="shared" ref="E57:K57" si="48">D139</f>
        <v>0</v>
      </c>
      <c r="F57" s="615">
        <f t="shared" si="48"/>
        <v>0</v>
      </c>
      <c r="G57" s="615">
        <f t="shared" si="48"/>
        <v>0</v>
      </c>
      <c r="H57" s="1304">
        <f t="shared" si="48"/>
        <v>0</v>
      </c>
      <c r="I57" s="615">
        <f t="shared" si="48"/>
        <v>0</v>
      </c>
      <c r="J57" s="615">
        <f t="shared" si="48"/>
        <v>0</v>
      </c>
      <c r="K57" s="615">
        <f t="shared" si="48"/>
        <v>0</v>
      </c>
    </row>
    <row r="58" spans="2:12" outlineLevel="1" x14ac:dyDescent="0.25">
      <c r="B58" s="88" t="str">
        <f>IF(ISBLANK('N1. Demand'!B67),"",'N1. Demand'!B67)</f>
        <v>T48</v>
      </c>
      <c r="C58" s="354"/>
      <c r="D58" s="615">
        <f t="shared" si="2"/>
        <v>0</v>
      </c>
      <c r="E58" s="615">
        <f t="shared" ref="E58:K58" si="49">D140</f>
        <v>0</v>
      </c>
      <c r="F58" s="615">
        <f t="shared" si="49"/>
        <v>0</v>
      </c>
      <c r="G58" s="615">
        <f t="shared" si="49"/>
        <v>0</v>
      </c>
      <c r="H58" s="1304">
        <f t="shared" si="49"/>
        <v>0</v>
      </c>
      <c r="I58" s="615">
        <f t="shared" si="49"/>
        <v>0</v>
      </c>
      <c r="J58" s="615">
        <f t="shared" si="49"/>
        <v>0</v>
      </c>
      <c r="K58" s="615">
        <f t="shared" si="49"/>
        <v>0</v>
      </c>
    </row>
    <row r="59" spans="2:12" outlineLevel="1" x14ac:dyDescent="0.25">
      <c r="B59" s="88" t="str">
        <f>IF(ISBLANK('N1. Demand'!B68),"",'N1. Demand'!B68)</f>
        <v>T49</v>
      </c>
      <c r="C59" s="354"/>
      <c r="D59" s="615">
        <f t="shared" si="2"/>
        <v>0</v>
      </c>
      <c r="E59" s="615">
        <f t="shared" ref="E59:K59" si="50">D141</f>
        <v>0</v>
      </c>
      <c r="F59" s="615">
        <f t="shared" si="50"/>
        <v>0</v>
      </c>
      <c r="G59" s="615">
        <f t="shared" si="50"/>
        <v>0</v>
      </c>
      <c r="H59" s="1304">
        <f t="shared" si="50"/>
        <v>0</v>
      </c>
      <c r="I59" s="615">
        <f t="shared" si="50"/>
        <v>0</v>
      </c>
      <c r="J59" s="615">
        <f t="shared" si="50"/>
        <v>0</v>
      </c>
      <c r="K59" s="615">
        <f t="shared" si="50"/>
        <v>0</v>
      </c>
    </row>
    <row r="60" spans="2:12" s="1356" customFormat="1" outlineLevel="1" x14ac:dyDescent="0.25">
      <c r="B60" s="88" t="str">
        <f>IF(ISBLANK('N1. Demand'!B69),"",'N1. Demand'!B69)</f>
        <v>T50</v>
      </c>
      <c r="C60" s="354"/>
      <c r="D60" s="615">
        <f t="shared" si="2"/>
        <v>0</v>
      </c>
      <c r="E60" s="615">
        <f t="shared" ref="E60:K60" si="51">D142</f>
        <v>0</v>
      </c>
      <c r="F60" s="615">
        <f t="shared" si="51"/>
        <v>0</v>
      </c>
      <c r="G60" s="615">
        <f t="shared" si="51"/>
        <v>0</v>
      </c>
      <c r="H60" s="1304">
        <f t="shared" si="51"/>
        <v>0</v>
      </c>
      <c r="I60" s="615">
        <f t="shared" si="51"/>
        <v>0</v>
      </c>
      <c r="J60" s="615">
        <f t="shared" si="51"/>
        <v>0</v>
      </c>
      <c r="K60" s="615">
        <f t="shared" si="51"/>
        <v>0</v>
      </c>
    </row>
    <row r="61" spans="2:12" s="1356" customFormat="1" outlineLevel="1" x14ac:dyDescent="0.25">
      <c r="B61" s="88" t="str">
        <f>IF(ISBLANK('N1. Demand'!B70),"",'N1. Demand'!B70)</f>
        <v>T51</v>
      </c>
      <c r="C61" s="354"/>
      <c r="D61" s="615">
        <f t="shared" si="2"/>
        <v>0</v>
      </c>
      <c r="E61" s="615">
        <f t="shared" ref="E61:K61" si="52">D143</f>
        <v>0</v>
      </c>
      <c r="F61" s="615">
        <f t="shared" si="52"/>
        <v>0</v>
      </c>
      <c r="G61" s="615">
        <f t="shared" si="52"/>
        <v>0</v>
      </c>
      <c r="H61" s="1304">
        <f t="shared" si="52"/>
        <v>0</v>
      </c>
      <c r="I61" s="615">
        <f t="shared" si="52"/>
        <v>0</v>
      </c>
      <c r="J61" s="615">
        <f t="shared" si="52"/>
        <v>0</v>
      </c>
      <c r="K61" s="615">
        <f t="shared" si="52"/>
        <v>0</v>
      </c>
    </row>
    <row r="62" spans="2:12" s="1356" customFormat="1" outlineLevel="1" x14ac:dyDescent="0.25">
      <c r="B62" s="88" t="str">
        <f>IF(ISBLANK('N1. Demand'!B71),"",'N1. Demand'!B71)</f>
        <v>T52</v>
      </c>
      <c r="C62" s="354"/>
      <c r="D62" s="615">
        <f t="shared" si="2"/>
        <v>0</v>
      </c>
      <c r="E62" s="615">
        <f t="shared" ref="E62:K62" si="53">D144</f>
        <v>0</v>
      </c>
      <c r="F62" s="615">
        <f t="shared" si="53"/>
        <v>0</v>
      </c>
      <c r="G62" s="615">
        <f t="shared" si="53"/>
        <v>0</v>
      </c>
      <c r="H62" s="1304">
        <f t="shared" si="53"/>
        <v>0</v>
      </c>
      <c r="I62" s="615">
        <f t="shared" si="53"/>
        <v>0</v>
      </c>
      <c r="J62" s="615">
        <f t="shared" si="53"/>
        <v>0</v>
      </c>
      <c r="K62" s="615">
        <f t="shared" si="53"/>
        <v>0</v>
      </c>
    </row>
    <row r="63" spans="2:12" s="1356" customFormat="1" outlineLevel="1" x14ac:dyDescent="0.25">
      <c r="B63" s="88" t="str">
        <f>IF(ISBLANK('N1. Demand'!B72),"",'N1. Demand'!B72)</f>
        <v>T53</v>
      </c>
      <c r="C63" s="354"/>
      <c r="D63" s="615">
        <f t="shared" si="2"/>
        <v>0</v>
      </c>
      <c r="E63" s="615">
        <f t="shared" ref="E63:K63" si="54">D145</f>
        <v>0</v>
      </c>
      <c r="F63" s="615">
        <f t="shared" si="54"/>
        <v>0</v>
      </c>
      <c r="G63" s="615">
        <f t="shared" si="54"/>
        <v>0</v>
      </c>
      <c r="H63" s="1304">
        <f t="shared" si="54"/>
        <v>0</v>
      </c>
      <c r="I63" s="615">
        <f t="shared" si="54"/>
        <v>0</v>
      </c>
      <c r="J63" s="615">
        <f t="shared" si="54"/>
        <v>0</v>
      </c>
      <c r="K63" s="615">
        <f t="shared" si="54"/>
        <v>0</v>
      </c>
    </row>
    <row r="64" spans="2:12" s="1356" customFormat="1" outlineLevel="1" x14ac:dyDescent="0.25">
      <c r="B64" s="88" t="str">
        <f>IF(ISBLANK('N1. Demand'!B73),"",'N1. Demand'!B73)</f>
        <v>T54</v>
      </c>
      <c r="C64" s="354"/>
      <c r="D64" s="615">
        <f t="shared" si="2"/>
        <v>0</v>
      </c>
      <c r="E64" s="615">
        <f t="shared" ref="E64:K64" si="55">D146</f>
        <v>0</v>
      </c>
      <c r="F64" s="615">
        <f t="shared" si="55"/>
        <v>0</v>
      </c>
      <c r="G64" s="615">
        <f t="shared" si="55"/>
        <v>0</v>
      </c>
      <c r="H64" s="1304">
        <f t="shared" si="55"/>
        <v>0</v>
      </c>
      <c r="I64" s="615">
        <f t="shared" si="55"/>
        <v>0</v>
      </c>
      <c r="J64" s="615">
        <f t="shared" si="55"/>
        <v>0</v>
      </c>
      <c r="K64" s="615">
        <f t="shared" si="55"/>
        <v>0</v>
      </c>
    </row>
    <row r="65" spans="2:11" s="1356" customFormat="1" outlineLevel="1" x14ac:dyDescent="0.25">
      <c r="B65" s="88" t="str">
        <f>IF(ISBLANK('N1. Demand'!B74),"",'N1. Demand'!B74)</f>
        <v>T55</v>
      </c>
      <c r="C65" s="354"/>
      <c r="D65" s="615">
        <f t="shared" si="2"/>
        <v>0</v>
      </c>
      <c r="E65" s="615">
        <f t="shared" ref="E65:K65" si="56">D147</f>
        <v>0</v>
      </c>
      <c r="F65" s="615">
        <f t="shared" si="56"/>
        <v>0</v>
      </c>
      <c r="G65" s="615">
        <f t="shared" si="56"/>
        <v>0</v>
      </c>
      <c r="H65" s="1304">
        <f t="shared" si="56"/>
        <v>0</v>
      </c>
      <c r="I65" s="615">
        <f t="shared" si="56"/>
        <v>0</v>
      </c>
      <c r="J65" s="615">
        <f t="shared" si="56"/>
        <v>0</v>
      </c>
      <c r="K65" s="615">
        <f t="shared" si="56"/>
        <v>0</v>
      </c>
    </row>
    <row r="66" spans="2:11" s="1356" customFormat="1" outlineLevel="1" x14ac:dyDescent="0.25">
      <c r="B66" s="88" t="str">
        <f>IF(ISBLANK('N1. Demand'!B75),"",'N1. Demand'!B75)</f>
        <v>T56</v>
      </c>
      <c r="C66" s="354"/>
      <c r="D66" s="615">
        <f t="shared" si="2"/>
        <v>0</v>
      </c>
      <c r="E66" s="615">
        <f t="shared" ref="E66:K66" si="57">D148</f>
        <v>0</v>
      </c>
      <c r="F66" s="615">
        <f t="shared" si="57"/>
        <v>0</v>
      </c>
      <c r="G66" s="615">
        <f t="shared" si="57"/>
        <v>0</v>
      </c>
      <c r="H66" s="1304">
        <f t="shared" si="57"/>
        <v>0</v>
      </c>
      <c r="I66" s="615">
        <f t="shared" si="57"/>
        <v>0</v>
      </c>
      <c r="J66" s="615">
        <f t="shared" si="57"/>
        <v>0</v>
      </c>
      <c r="K66" s="615">
        <f t="shared" si="57"/>
        <v>0</v>
      </c>
    </row>
    <row r="67" spans="2:11" s="1356" customFormat="1" outlineLevel="1" x14ac:dyDescent="0.25">
      <c r="B67" s="88" t="str">
        <f>IF(ISBLANK('N1. Demand'!B76),"",'N1. Demand'!B76)</f>
        <v>T57</v>
      </c>
      <c r="C67" s="354"/>
      <c r="D67" s="615">
        <f t="shared" si="2"/>
        <v>0</v>
      </c>
      <c r="E67" s="615">
        <f t="shared" ref="E67:K67" si="58">D149</f>
        <v>0</v>
      </c>
      <c r="F67" s="615">
        <f t="shared" si="58"/>
        <v>0</v>
      </c>
      <c r="G67" s="615">
        <f t="shared" si="58"/>
        <v>0</v>
      </c>
      <c r="H67" s="1304">
        <f t="shared" si="58"/>
        <v>0</v>
      </c>
      <c r="I67" s="615">
        <f t="shared" si="58"/>
        <v>0</v>
      </c>
      <c r="J67" s="615">
        <f t="shared" si="58"/>
        <v>0</v>
      </c>
      <c r="K67" s="615">
        <f t="shared" si="58"/>
        <v>0</v>
      </c>
    </row>
    <row r="68" spans="2:11" s="1356" customFormat="1" outlineLevel="1" x14ac:dyDescent="0.25">
      <c r="B68" s="88" t="str">
        <f>IF(ISBLANK('N1. Demand'!B77),"",'N1. Demand'!B77)</f>
        <v>T58</v>
      </c>
      <c r="C68" s="354"/>
      <c r="D68" s="615">
        <f t="shared" si="2"/>
        <v>0</v>
      </c>
      <c r="E68" s="615">
        <f t="shared" ref="E68:K68" si="59">D150</f>
        <v>0</v>
      </c>
      <c r="F68" s="615">
        <f t="shared" si="59"/>
        <v>0</v>
      </c>
      <c r="G68" s="615">
        <f t="shared" si="59"/>
        <v>0</v>
      </c>
      <c r="H68" s="1304">
        <f t="shared" si="59"/>
        <v>0</v>
      </c>
      <c r="I68" s="615">
        <f t="shared" si="59"/>
        <v>0</v>
      </c>
      <c r="J68" s="615">
        <f t="shared" si="59"/>
        <v>0</v>
      </c>
      <c r="K68" s="615">
        <f t="shared" si="59"/>
        <v>0</v>
      </c>
    </row>
    <row r="69" spans="2:11" s="1356" customFormat="1" outlineLevel="1" x14ac:dyDescent="0.25">
      <c r="B69" s="88" t="str">
        <f>IF(ISBLANK('N1. Demand'!B78),"",'N1. Demand'!B78)</f>
        <v>T59</v>
      </c>
      <c r="C69" s="354"/>
      <c r="D69" s="615">
        <f t="shared" si="2"/>
        <v>0</v>
      </c>
      <c r="E69" s="615">
        <f t="shared" ref="E69:K69" si="60">D151</f>
        <v>0</v>
      </c>
      <c r="F69" s="615">
        <f t="shared" si="60"/>
        <v>0</v>
      </c>
      <c r="G69" s="615">
        <f t="shared" si="60"/>
        <v>0</v>
      </c>
      <c r="H69" s="1304">
        <f t="shared" si="60"/>
        <v>0</v>
      </c>
      <c r="I69" s="615">
        <f t="shared" si="60"/>
        <v>0</v>
      </c>
      <c r="J69" s="615">
        <f t="shared" si="60"/>
        <v>0</v>
      </c>
      <c r="K69" s="615">
        <f t="shared" si="60"/>
        <v>0</v>
      </c>
    </row>
    <row r="70" spans="2:11" s="1356" customFormat="1" outlineLevel="1" x14ac:dyDescent="0.25">
      <c r="B70" s="88" t="str">
        <f>IF(ISBLANK('N1. Demand'!B79),"",'N1. Demand'!B79)</f>
        <v>T60</v>
      </c>
      <c r="C70" s="354"/>
      <c r="D70" s="615">
        <f t="shared" si="2"/>
        <v>0</v>
      </c>
      <c r="E70" s="615">
        <f t="shared" ref="E70:K70" si="61">D152</f>
        <v>0</v>
      </c>
      <c r="F70" s="615">
        <f t="shared" si="61"/>
        <v>0</v>
      </c>
      <c r="G70" s="615">
        <f t="shared" si="61"/>
        <v>0</v>
      </c>
      <c r="H70" s="1304">
        <f t="shared" si="61"/>
        <v>0</v>
      </c>
      <c r="I70" s="615">
        <f t="shared" si="61"/>
        <v>0</v>
      </c>
      <c r="J70" s="615">
        <f t="shared" si="61"/>
        <v>0</v>
      </c>
      <c r="K70" s="615">
        <f t="shared" si="61"/>
        <v>0</v>
      </c>
    </row>
    <row r="71" spans="2:11" s="1356" customFormat="1" outlineLevel="1" x14ac:dyDescent="0.25">
      <c r="B71" s="88" t="str">
        <f>IF(ISBLANK('N1. Demand'!B80),"",'N1. Demand'!B80)</f>
        <v>T61</v>
      </c>
      <c r="C71" s="354"/>
      <c r="D71" s="615">
        <f t="shared" si="2"/>
        <v>0</v>
      </c>
      <c r="E71" s="615">
        <f t="shared" ref="E71:K71" si="62">D153</f>
        <v>0</v>
      </c>
      <c r="F71" s="615">
        <f t="shared" si="62"/>
        <v>0</v>
      </c>
      <c r="G71" s="615">
        <f t="shared" si="62"/>
        <v>0</v>
      </c>
      <c r="H71" s="1304">
        <f t="shared" si="62"/>
        <v>0</v>
      </c>
      <c r="I71" s="615">
        <f t="shared" si="62"/>
        <v>0</v>
      </c>
      <c r="J71" s="615">
        <f t="shared" si="62"/>
        <v>0</v>
      </c>
      <c r="K71" s="615">
        <f t="shared" si="62"/>
        <v>0</v>
      </c>
    </row>
    <row r="72" spans="2:11" s="1356" customFormat="1" outlineLevel="1" x14ac:dyDescent="0.25">
      <c r="B72" s="88" t="str">
        <f>IF(ISBLANK('N1. Demand'!B81),"",'N1. Demand'!B81)</f>
        <v>T62</v>
      </c>
      <c r="C72" s="354"/>
      <c r="D72" s="615">
        <f t="shared" si="2"/>
        <v>0</v>
      </c>
      <c r="E72" s="615">
        <f t="shared" ref="E72:K72" si="63">D154</f>
        <v>0</v>
      </c>
      <c r="F72" s="615">
        <f t="shared" si="63"/>
        <v>0</v>
      </c>
      <c r="G72" s="615">
        <f t="shared" si="63"/>
        <v>0</v>
      </c>
      <c r="H72" s="1304">
        <f t="shared" si="63"/>
        <v>0</v>
      </c>
      <c r="I72" s="615">
        <f t="shared" si="63"/>
        <v>0</v>
      </c>
      <c r="J72" s="615">
        <f t="shared" si="63"/>
        <v>0</v>
      </c>
      <c r="K72" s="615">
        <f t="shared" si="63"/>
        <v>0</v>
      </c>
    </row>
    <row r="73" spans="2:11" s="1356" customFormat="1" outlineLevel="1" x14ac:dyDescent="0.25">
      <c r="B73" s="88" t="str">
        <f>IF(ISBLANK('N1. Demand'!B82),"",'N1. Demand'!B82)</f>
        <v>T63</v>
      </c>
      <c r="C73" s="354"/>
      <c r="D73" s="615">
        <f t="shared" si="2"/>
        <v>0</v>
      </c>
      <c r="E73" s="615">
        <f t="shared" ref="E73:K73" si="64">D155</f>
        <v>0</v>
      </c>
      <c r="F73" s="615">
        <f t="shared" si="64"/>
        <v>0</v>
      </c>
      <c r="G73" s="615">
        <f t="shared" si="64"/>
        <v>0</v>
      </c>
      <c r="H73" s="1304">
        <f t="shared" si="64"/>
        <v>0</v>
      </c>
      <c r="I73" s="615">
        <f t="shared" si="64"/>
        <v>0</v>
      </c>
      <c r="J73" s="615">
        <f t="shared" si="64"/>
        <v>0</v>
      </c>
      <c r="K73" s="615">
        <f t="shared" si="64"/>
        <v>0</v>
      </c>
    </row>
    <row r="74" spans="2:11" s="1356" customFormat="1" outlineLevel="1" x14ac:dyDescent="0.25">
      <c r="B74" s="88" t="str">
        <f>IF(ISBLANK('N1. Demand'!B83),"",'N1. Demand'!B83)</f>
        <v>T64</v>
      </c>
      <c r="C74" s="354"/>
      <c r="D74" s="615">
        <f t="shared" si="2"/>
        <v>0</v>
      </c>
      <c r="E74" s="615">
        <f t="shared" ref="E74:K74" si="65">D156</f>
        <v>0</v>
      </c>
      <c r="F74" s="615">
        <f t="shared" si="65"/>
        <v>0</v>
      </c>
      <c r="G74" s="615">
        <f t="shared" si="65"/>
        <v>0</v>
      </c>
      <c r="H74" s="1304">
        <f t="shared" si="65"/>
        <v>0</v>
      </c>
      <c r="I74" s="615">
        <f t="shared" si="65"/>
        <v>0</v>
      </c>
      <c r="J74" s="615">
        <f t="shared" si="65"/>
        <v>0</v>
      </c>
      <c r="K74" s="615">
        <f t="shared" si="65"/>
        <v>0</v>
      </c>
    </row>
    <row r="75" spans="2:11" s="1356" customFormat="1" outlineLevel="1" x14ac:dyDescent="0.25">
      <c r="B75" s="88" t="str">
        <f>IF(ISBLANK('N1. Demand'!B84),"",'N1. Demand'!B84)</f>
        <v>T65</v>
      </c>
      <c r="C75" s="354"/>
      <c r="D75" s="615">
        <f t="shared" si="2"/>
        <v>0</v>
      </c>
      <c r="E75" s="615">
        <f t="shared" ref="E75:K75" si="66">D157</f>
        <v>0</v>
      </c>
      <c r="F75" s="615">
        <f t="shared" si="66"/>
        <v>0</v>
      </c>
      <c r="G75" s="615">
        <f t="shared" si="66"/>
        <v>0</v>
      </c>
      <c r="H75" s="1304">
        <f t="shared" si="66"/>
        <v>0</v>
      </c>
      <c r="I75" s="615">
        <f t="shared" si="66"/>
        <v>0</v>
      </c>
      <c r="J75" s="615">
        <f t="shared" si="66"/>
        <v>0</v>
      </c>
      <c r="K75" s="615">
        <f t="shared" si="66"/>
        <v>0</v>
      </c>
    </row>
    <row r="76" spans="2:11" s="1356" customFormat="1" outlineLevel="1" x14ac:dyDescent="0.25">
      <c r="B76" s="88" t="str">
        <f>IF(ISBLANK('N1. Demand'!B85),"",'N1. Demand'!B85)</f>
        <v>T66</v>
      </c>
      <c r="C76" s="354"/>
      <c r="D76" s="615">
        <f t="shared" ref="D76:D85" si="67">C158</f>
        <v>0</v>
      </c>
      <c r="E76" s="615">
        <f t="shared" ref="E76:K76" si="68">D158</f>
        <v>0</v>
      </c>
      <c r="F76" s="615">
        <f t="shared" si="68"/>
        <v>0</v>
      </c>
      <c r="G76" s="615">
        <f t="shared" si="68"/>
        <v>0</v>
      </c>
      <c r="H76" s="1304">
        <f t="shared" si="68"/>
        <v>0</v>
      </c>
      <c r="I76" s="615">
        <f t="shared" si="68"/>
        <v>0</v>
      </c>
      <c r="J76" s="615">
        <f t="shared" si="68"/>
        <v>0</v>
      </c>
      <c r="K76" s="615">
        <f t="shared" si="68"/>
        <v>0</v>
      </c>
    </row>
    <row r="77" spans="2:11" s="1356" customFormat="1" outlineLevel="1" x14ac:dyDescent="0.25">
      <c r="B77" s="88" t="str">
        <f>IF(ISBLANK('N1. Demand'!B86),"",'N1. Demand'!B86)</f>
        <v>T67</v>
      </c>
      <c r="C77" s="354"/>
      <c r="D77" s="615">
        <f t="shared" si="67"/>
        <v>0</v>
      </c>
      <c r="E77" s="615">
        <f t="shared" ref="E77:K77" si="69">D159</f>
        <v>0</v>
      </c>
      <c r="F77" s="615">
        <f t="shared" si="69"/>
        <v>0</v>
      </c>
      <c r="G77" s="615">
        <f t="shared" si="69"/>
        <v>0</v>
      </c>
      <c r="H77" s="1304">
        <f t="shared" si="69"/>
        <v>0</v>
      </c>
      <c r="I77" s="615">
        <f t="shared" si="69"/>
        <v>0</v>
      </c>
      <c r="J77" s="615">
        <f t="shared" si="69"/>
        <v>0</v>
      </c>
      <c r="K77" s="615">
        <f t="shared" si="69"/>
        <v>0</v>
      </c>
    </row>
    <row r="78" spans="2:11" s="1356" customFormat="1" outlineLevel="1" x14ac:dyDescent="0.25">
      <c r="B78" s="88" t="str">
        <f>IF(ISBLANK('N1. Demand'!B87),"",'N1. Demand'!B87)</f>
        <v>T68</v>
      </c>
      <c r="C78" s="354"/>
      <c r="D78" s="615">
        <f t="shared" si="67"/>
        <v>0</v>
      </c>
      <c r="E78" s="615">
        <f t="shared" ref="E78:K78" si="70">D160</f>
        <v>0</v>
      </c>
      <c r="F78" s="615">
        <f t="shared" si="70"/>
        <v>0</v>
      </c>
      <c r="G78" s="615">
        <f t="shared" si="70"/>
        <v>0</v>
      </c>
      <c r="H78" s="1304">
        <f t="shared" si="70"/>
        <v>0</v>
      </c>
      <c r="I78" s="615">
        <f t="shared" si="70"/>
        <v>0</v>
      </c>
      <c r="J78" s="615">
        <f t="shared" si="70"/>
        <v>0</v>
      </c>
      <c r="K78" s="615">
        <f t="shared" si="70"/>
        <v>0</v>
      </c>
    </row>
    <row r="79" spans="2:11" s="1356" customFormat="1" outlineLevel="1" x14ac:dyDescent="0.25">
      <c r="B79" s="88" t="str">
        <f>IF(ISBLANK('N1. Demand'!B88),"",'N1. Demand'!B88)</f>
        <v>T69</v>
      </c>
      <c r="C79" s="354"/>
      <c r="D79" s="615">
        <f t="shared" si="67"/>
        <v>0</v>
      </c>
      <c r="E79" s="615">
        <f t="shared" ref="E79:K79" si="71">D161</f>
        <v>0</v>
      </c>
      <c r="F79" s="615">
        <f t="shared" si="71"/>
        <v>0</v>
      </c>
      <c r="G79" s="615">
        <f t="shared" si="71"/>
        <v>0</v>
      </c>
      <c r="H79" s="1304">
        <f t="shared" si="71"/>
        <v>0</v>
      </c>
      <c r="I79" s="615">
        <f t="shared" si="71"/>
        <v>0</v>
      </c>
      <c r="J79" s="615">
        <f t="shared" si="71"/>
        <v>0</v>
      </c>
      <c r="K79" s="615">
        <f t="shared" si="71"/>
        <v>0</v>
      </c>
    </row>
    <row r="80" spans="2:11" s="1356" customFormat="1" outlineLevel="1" x14ac:dyDescent="0.25">
      <c r="B80" s="88" t="str">
        <f>IF(ISBLANK('N1. Demand'!B89),"",'N1. Demand'!B89)</f>
        <v>T70</v>
      </c>
      <c r="C80" s="354"/>
      <c r="D80" s="615">
        <f t="shared" si="67"/>
        <v>0</v>
      </c>
      <c r="E80" s="615">
        <f t="shared" ref="E80:K80" si="72">D162</f>
        <v>0</v>
      </c>
      <c r="F80" s="615">
        <f t="shared" si="72"/>
        <v>0</v>
      </c>
      <c r="G80" s="615">
        <f t="shared" si="72"/>
        <v>0</v>
      </c>
      <c r="H80" s="1304">
        <f t="shared" si="72"/>
        <v>0</v>
      </c>
      <c r="I80" s="615">
        <f t="shared" si="72"/>
        <v>0</v>
      </c>
      <c r="J80" s="615">
        <f t="shared" si="72"/>
        <v>0</v>
      </c>
      <c r="K80" s="615">
        <f t="shared" si="72"/>
        <v>0</v>
      </c>
    </row>
    <row r="81" spans="1:12" s="1356" customFormat="1" outlineLevel="1" x14ac:dyDescent="0.25">
      <c r="B81" s="88" t="str">
        <f>IF(ISBLANK('N1. Demand'!B90),"",'N1. Demand'!B90)</f>
        <v>T71</v>
      </c>
      <c r="C81" s="354"/>
      <c r="D81" s="615">
        <f t="shared" si="67"/>
        <v>0</v>
      </c>
      <c r="E81" s="615">
        <f t="shared" ref="E81:K81" si="73">D163</f>
        <v>0</v>
      </c>
      <c r="F81" s="615">
        <f t="shared" si="73"/>
        <v>0</v>
      </c>
      <c r="G81" s="615">
        <f t="shared" si="73"/>
        <v>0</v>
      </c>
      <c r="H81" s="1304">
        <f t="shared" si="73"/>
        <v>0</v>
      </c>
      <c r="I81" s="615">
        <f t="shared" si="73"/>
        <v>0</v>
      </c>
      <c r="J81" s="615">
        <f t="shared" si="73"/>
        <v>0</v>
      </c>
      <c r="K81" s="615">
        <f t="shared" si="73"/>
        <v>0</v>
      </c>
    </row>
    <row r="82" spans="1:12" s="1356" customFormat="1" outlineLevel="1" x14ac:dyDescent="0.25">
      <c r="B82" s="88" t="str">
        <f>IF(ISBLANK('N1. Demand'!B91),"",'N1. Demand'!B91)</f>
        <v>T72</v>
      </c>
      <c r="C82" s="354"/>
      <c r="D82" s="615">
        <f t="shared" si="67"/>
        <v>0</v>
      </c>
      <c r="E82" s="615">
        <f t="shared" ref="E82:K82" si="74">D164</f>
        <v>0</v>
      </c>
      <c r="F82" s="615">
        <f t="shared" si="74"/>
        <v>0</v>
      </c>
      <c r="G82" s="615">
        <f t="shared" si="74"/>
        <v>0</v>
      </c>
      <c r="H82" s="1304">
        <f t="shared" si="74"/>
        <v>0</v>
      </c>
      <c r="I82" s="615">
        <f t="shared" si="74"/>
        <v>0</v>
      </c>
      <c r="J82" s="615">
        <f t="shared" si="74"/>
        <v>0</v>
      </c>
      <c r="K82" s="615">
        <f t="shared" si="74"/>
        <v>0</v>
      </c>
    </row>
    <row r="83" spans="1:12" s="1356" customFormat="1" outlineLevel="1" x14ac:dyDescent="0.25">
      <c r="B83" s="88" t="str">
        <f>IF(ISBLANK('N1. Demand'!B92),"",'N1. Demand'!B92)</f>
        <v>T73</v>
      </c>
      <c r="C83" s="354"/>
      <c r="D83" s="615">
        <f t="shared" si="67"/>
        <v>0</v>
      </c>
      <c r="E83" s="615">
        <f t="shared" ref="E83:K83" si="75">D165</f>
        <v>0</v>
      </c>
      <c r="F83" s="615">
        <f t="shared" si="75"/>
        <v>0</v>
      </c>
      <c r="G83" s="615">
        <f t="shared" si="75"/>
        <v>0</v>
      </c>
      <c r="H83" s="1304">
        <f t="shared" si="75"/>
        <v>0</v>
      </c>
      <c r="I83" s="615">
        <f t="shared" si="75"/>
        <v>0</v>
      </c>
      <c r="J83" s="615">
        <f t="shared" si="75"/>
        <v>0</v>
      </c>
      <c r="K83" s="615">
        <f t="shared" si="75"/>
        <v>0</v>
      </c>
    </row>
    <row r="84" spans="1:12" s="1356" customFormat="1" outlineLevel="1" x14ac:dyDescent="0.25">
      <c r="B84" s="88" t="str">
        <f>IF(ISBLANK('N1. Demand'!B93),"",'N1. Demand'!B93)</f>
        <v>T74</v>
      </c>
      <c r="C84" s="354"/>
      <c r="D84" s="615">
        <f t="shared" si="67"/>
        <v>0</v>
      </c>
      <c r="E84" s="615">
        <f t="shared" ref="E84:K84" si="76">D166</f>
        <v>0</v>
      </c>
      <c r="F84" s="615">
        <f t="shared" si="76"/>
        <v>0</v>
      </c>
      <c r="G84" s="615">
        <f t="shared" si="76"/>
        <v>0</v>
      </c>
      <c r="H84" s="1304">
        <f t="shared" si="76"/>
        <v>0</v>
      </c>
      <c r="I84" s="615">
        <f t="shared" si="76"/>
        <v>0</v>
      </c>
      <c r="J84" s="615">
        <f t="shared" si="76"/>
        <v>0</v>
      </c>
      <c r="K84" s="615">
        <f t="shared" si="76"/>
        <v>0</v>
      </c>
    </row>
    <row r="85" spans="1:12" outlineLevel="1" x14ac:dyDescent="0.25">
      <c r="B85" s="88" t="str">
        <f>IF(ISBLANK('N1. Demand'!B94),"",'N1. Demand'!B94)</f>
        <v>T75</v>
      </c>
      <c r="C85" s="354"/>
      <c r="D85" s="615">
        <f t="shared" si="67"/>
        <v>0</v>
      </c>
      <c r="E85" s="615">
        <f t="shared" ref="E85:K85" si="77">D167</f>
        <v>0</v>
      </c>
      <c r="F85" s="615">
        <f t="shared" si="77"/>
        <v>0</v>
      </c>
      <c r="G85" s="615">
        <f t="shared" si="77"/>
        <v>0</v>
      </c>
      <c r="H85" s="1304">
        <f t="shared" si="77"/>
        <v>0</v>
      </c>
      <c r="I85" s="615">
        <f t="shared" si="77"/>
        <v>0</v>
      </c>
      <c r="J85" s="615">
        <f t="shared" si="77"/>
        <v>0</v>
      </c>
      <c r="K85" s="615">
        <f t="shared" si="77"/>
        <v>0</v>
      </c>
    </row>
    <row r="86" spans="1:12" ht="15.75" outlineLevel="1" thickBot="1" x14ac:dyDescent="0.3">
      <c r="B86" s="340" t="s">
        <v>640</v>
      </c>
      <c r="C86" s="340">
        <f t="shared" ref="C86:D86" si="78">SUM(C11:C85)</f>
        <v>590012</v>
      </c>
      <c r="D86" s="340">
        <f t="shared" si="78"/>
        <v>607785</v>
      </c>
      <c r="E86" s="340">
        <f t="shared" ref="E86:K86" si="79">SUM(E11:E85)</f>
        <v>622884</v>
      </c>
      <c r="F86" s="340">
        <f t="shared" si="79"/>
        <v>636518</v>
      </c>
      <c r="G86" s="340">
        <f t="shared" si="79"/>
        <v>651196</v>
      </c>
      <c r="H86" s="340">
        <f t="shared" si="79"/>
        <v>666391</v>
      </c>
      <c r="I86" s="340">
        <f t="shared" si="79"/>
        <v>682008</v>
      </c>
      <c r="J86" s="340">
        <f t="shared" si="79"/>
        <v>700050</v>
      </c>
      <c r="K86" s="340">
        <f t="shared" si="79"/>
        <v>718175</v>
      </c>
    </row>
    <row r="87" spans="1:12" ht="17.25" customHeight="1" x14ac:dyDescent="0.25"/>
    <row r="88" spans="1:12" ht="17.25" customHeight="1" thickBot="1" x14ac:dyDescent="0.3"/>
    <row r="89" spans="1:12" s="612" customFormat="1" ht="25.5" customHeight="1" thickBot="1" x14ac:dyDescent="0.3">
      <c r="A89" s="614"/>
      <c r="B89" s="311" t="s">
        <v>1298</v>
      </c>
      <c r="C89" s="312"/>
      <c r="D89" s="312"/>
      <c r="E89" s="312"/>
      <c r="F89" s="312"/>
      <c r="G89" s="312"/>
      <c r="H89" s="312"/>
      <c r="I89" s="312"/>
      <c r="J89" s="312"/>
      <c r="K89" s="313"/>
    </row>
    <row r="90" spans="1:12" s="509" customFormat="1" ht="25.5" customHeight="1" outlineLevel="1" x14ac:dyDescent="0.25">
      <c r="B90" s="521"/>
      <c r="C90" s="1680" t="s">
        <v>701</v>
      </c>
      <c r="D90" s="1681"/>
      <c r="E90" s="1681"/>
      <c r="F90" s="1681"/>
      <c r="G90" s="1681"/>
      <c r="H90" s="1681"/>
      <c r="I90" s="1681"/>
      <c r="J90" s="1681"/>
      <c r="K90" s="1682"/>
      <c r="L90" s="521"/>
    </row>
    <row r="91" spans="1:12" s="509" customFormat="1" ht="18" customHeight="1" outlineLevel="1" x14ac:dyDescent="0.25">
      <c r="B91" s="116"/>
      <c r="C91" s="1683" t="s">
        <v>181</v>
      </c>
      <c r="D91" s="1684"/>
      <c r="E91" s="1684"/>
      <c r="F91" s="1684"/>
      <c r="G91" s="1684"/>
      <c r="H91" s="1684"/>
      <c r="I91" s="1684"/>
      <c r="J91" s="1684"/>
      <c r="K91" s="1685"/>
      <c r="L91" s="521"/>
    </row>
    <row r="92" spans="1:12" s="509" customFormat="1" ht="15.75" outlineLevel="1" thickBot="1" x14ac:dyDescent="0.3">
      <c r="B92" s="452"/>
      <c r="C92" s="424">
        <f ca="1">dms_y1</f>
        <v>2011</v>
      </c>
      <c r="D92" s="425">
        <f ca="1">dms_y2</f>
        <v>2012</v>
      </c>
      <c r="E92" s="425">
        <f ca="1">dms_y3</f>
        <v>2013</v>
      </c>
      <c r="F92" s="425">
        <f ca="1">dms_y4</f>
        <v>2014</v>
      </c>
      <c r="G92" s="425">
        <f ca="1">dms_y5</f>
        <v>2015</v>
      </c>
      <c r="H92" s="426">
        <f ca="1">dms_y6</f>
        <v>2016</v>
      </c>
      <c r="I92" s="426">
        <f ca="1">dms_y7</f>
        <v>2017</v>
      </c>
      <c r="J92" s="426">
        <f ca="1">dms_y8</f>
        <v>2018</v>
      </c>
      <c r="K92" s="427">
        <f ca="1">dms_y9</f>
        <v>2019</v>
      </c>
      <c r="L92" s="521"/>
    </row>
    <row r="93" spans="1:12" outlineLevel="1" x14ac:dyDescent="0.25">
      <c r="B93" s="88" t="str">
        <f>IF(ISBLANK('N1. Demand'!B20),"",'N1. Demand'!B20)</f>
        <v>Tariff V Central Domestic</v>
      </c>
      <c r="C93" s="354">
        <v>454784</v>
      </c>
      <c r="D93" s="354">
        <v>465611</v>
      </c>
      <c r="E93" s="354">
        <v>475481</v>
      </c>
      <c r="F93" s="354">
        <v>486557</v>
      </c>
      <c r="G93" s="354">
        <v>498066</v>
      </c>
      <c r="H93" s="354">
        <v>510482</v>
      </c>
      <c r="I93" s="354">
        <v>525373</v>
      </c>
      <c r="J93" s="354">
        <v>540541</v>
      </c>
      <c r="K93" s="355">
        <v>557553</v>
      </c>
    </row>
    <row r="94" spans="1:12" outlineLevel="1" x14ac:dyDescent="0.25">
      <c r="B94" s="88" t="str">
        <f>IF(ISBLANK('N1. Demand'!B21),"",'N1. Demand'!B21)</f>
        <v>Tariff V Central Non-Domestic</v>
      </c>
      <c r="C94" s="354">
        <v>9928</v>
      </c>
      <c r="D94" s="354">
        <v>10135</v>
      </c>
      <c r="E94" s="354">
        <v>10316</v>
      </c>
      <c r="F94" s="354">
        <v>10500</v>
      </c>
      <c r="G94" s="354">
        <v>10800</v>
      </c>
      <c r="H94" s="354">
        <v>11112</v>
      </c>
      <c r="I94" s="354">
        <v>11335</v>
      </c>
      <c r="J94" s="354">
        <v>11423</v>
      </c>
      <c r="K94" s="355">
        <v>11538</v>
      </c>
    </row>
    <row r="95" spans="1:12" outlineLevel="1" x14ac:dyDescent="0.25">
      <c r="B95" s="88" t="str">
        <f>IF(ISBLANK('N1. Demand'!B22),"",'N1. Demand'!B22)</f>
        <v>Tariff V Adjoining Central Domestic</v>
      </c>
      <c r="C95" s="354">
        <v>1090</v>
      </c>
      <c r="D95" s="354">
        <v>1215</v>
      </c>
      <c r="E95" s="354">
        <v>1330</v>
      </c>
      <c r="F95" s="354">
        <v>1420</v>
      </c>
      <c r="G95" s="354">
        <v>1513</v>
      </c>
      <c r="H95" s="354">
        <v>1608</v>
      </c>
      <c r="I95" s="354">
        <v>1689</v>
      </c>
      <c r="J95" s="354">
        <v>1753</v>
      </c>
      <c r="K95" s="355">
        <v>1810</v>
      </c>
    </row>
    <row r="96" spans="1:12" outlineLevel="1" x14ac:dyDescent="0.25">
      <c r="B96" s="88" t="str">
        <f>IF(ISBLANK('N1. Demand'!B23),"",'N1. Demand'!B23)</f>
        <v>Tariff V Adjoining Central Non-Domestic</v>
      </c>
      <c r="C96" s="354">
        <v>9</v>
      </c>
      <c r="D96" s="354">
        <v>11</v>
      </c>
      <c r="E96" s="354">
        <v>13</v>
      </c>
      <c r="F96" s="354">
        <v>14</v>
      </c>
      <c r="G96" s="354">
        <v>13</v>
      </c>
      <c r="H96" s="354">
        <v>16</v>
      </c>
      <c r="I96" s="354">
        <v>16</v>
      </c>
      <c r="J96" s="354">
        <v>16</v>
      </c>
      <c r="K96" s="355">
        <v>18</v>
      </c>
    </row>
    <row r="97" spans="2:11" outlineLevel="1" x14ac:dyDescent="0.25">
      <c r="B97" s="88" t="str">
        <f>IF(ISBLANK('N1. Demand'!B24),"",'N1. Demand'!B24)</f>
        <v>Tariff V West Domestic</v>
      </c>
      <c r="C97" s="354">
        <v>127919</v>
      </c>
      <c r="D97" s="354">
        <v>131108</v>
      </c>
      <c r="E97" s="354">
        <v>133932</v>
      </c>
      <c r="F97" s="354">
        <v>136674</v>
      </c>
      <c r="G97" s="354">
        <v>139346</v>
      </c>
      <c r="H97" s="354">
        <v>141663</v>
      </c>
      <c r="I97" s="354">
        <v>144009</v>
      </c>
      <c r="J97" s="354">
        <v>146360</v>
      </c>
      <c r="K97" s="355">
        <v>149318</v>
      </c>
    </row>
    <row r="98" spans="2:11" s="1279" customFormat="1" outlineLevel="1" x14ac:dyDescent="0.25">
      <c r="B98" s="88" t="str">
        <f>IF(ISBLANK('N1. Demand'!B25),"",'N1. Demand'!B25)</f>
        <v>Tariff V West Non-Domestic</v>
      </c>
      <c r="C98" s="354">
        <v>6322</v>
      </c>
      <c r="D98" s="354">
        <v>6379</v>
      </c>
      <c r="E98" s="354">
        <v>6412</v>
      </c>
      <c r="F98" s="354">
        <v>6425</v>
      </c>
      <c r="G98" s="354">
        <v>6541</v>
      </c>
      <c r="H98" s="354">
        <v>6589</v>
      </c>
      <c r="I98" s="354">
        <v>6634</v>
      </c>
      <c r="J98" s="354">
        <v>6622</v>
      </c>
      <c r="K98" s="355">
        <v>6648</v>
      </c>
    </row>
    <row r="99" spans="2:11" s="1279" customFormat="1" outlineLevel="1" x14ac:dyDescent="0.25">
      <c r="B99" s="88" t="str">
        <f>IF(ISBLANK('N1. Demand'!B26),"",'N1. Demand'!B26)</f>
        <v>Tariff V Adjoining West Domestic</v>
      </c>
      <c r="C99" s="354">
        <v>7240</v>
      </c>
      <c r="D99" s="354">
        <v>7912</v>
      </c>
      <c r="E99" s="354">
        <v>8504</v>
      </c>
      <c r="F99" s="354">
        <v>9056</v>
      </c>
      <c r="G99" s="354">
        <v>9536</v>
      </c>
      <c r="H99" s="354">
        <v>9934</v>
      </c>
      <c r="I99" s="354">
        <v>10385</v>
      </c>
      <c r="J99" s="354">
        <v>10848</v>
      </c>
      <c r="K99" s="355">
        <v>11278</v>
      </c>
    </row>
    <row r="100" spans="2:11" s="1279" customFormat="1" outlineLevel="1" x14ac:dyDescent="0.25">
      <c r="B100" s="88" t="str">
        <f>IF(ISBLANK('N1. Demand'!B27),"",'N1. Demand'!B27)</f>
        <v>Tariff V Adjoining West Non-Domestic</v>
      </c>
      <c r="C100" s="354">
        <v>176</v>
      </c>
      <c r="D100" s="354">
        <v>193</v>
      </c>
      <c r="E100" s="354">
        <v>207</v>
      </c>
      <c r="F100" s="354">
        <v>225</v>
      </c>
      <c r="G100" s="354">
        <v>246</v>
      </c>
      <c r="H100" s="354">
        <v>268</v>
      </c>
      <c r="I100" s="354">
        <v>269</v>
      </c>
      <c r="J100" s="354">
        <v>277</v>
      </c>
      <c r="K100" s="355">
        <v>292</v>
      </c>
    </row>
    <row r="101" spans="2:11" s="1279" customFormat="1" outlineLevel="1" x14ac:dyDescent="0.25">
      <c r="B101" s="88" t="str">
        <f>IF(ISBLANK('N1. Demand'!B28),"",'N1. Demand'!B28)</f>
        <v>Tariff D Central</v>
      </c>
      <c r="C101" s="354">
        <v>215</v>
      </c>
      <c r="D101" s="354">
        <v>214</v>
      </c>
      <c r="E101" s="354">
        <v>215</v>
      </c>
      <c r="F101" s="354">
        <v>215</v>
      </c>
      <c r="G101" s="354">
        <v>220</v>
      </c>
      <c r="H101" s="354">
        <v>224</v>
      </c>
      <c r="I101" s="354">
        <v>226</v>
      </c>
      <c r="J101" s="354">
        <v>223</v>
      </c>
      <c r="K101" s="355">
        <v>223</v>
      </c>
    </row>
    <row r="102" spans="2:11" s="1279" customFormat="1" outlineLevel="1" x14ac:dyDescent="0.25">
      <c r="B102" s="88" t="str">
        <f>IF(ISBLANK('N1. Demand'!B29),"",'N1. Demand'!B29)</f>
        <v>Tariff D Adjoining Central</v>
      </c>
      <c r="C102" s="354">
        <v>1</v>
      </c>
      <c r="D102" s="354">
        <v>1</v>
      </c>
      <c r="E102" s="354">
        <v>1</v>
      </c>
      <c r="F102" s="354">
        <v>1</v>
      </c>
      <c r="G102" s="354">
        <v>1</v>
      </c>
      <c r="H102" s="354">
        <v>1</v>
      </c>
      <c r="I102" s="354">
        <v>1</v>
      </c>
      <c r="J102" s="354">
        <v>1</v>
      </c>
      <c r="K102" s="355">
        <v>1</v>
      </c>
    </row>
    <row r="103" spans="2:11" s="1279" customFormat="1" outlineLevel="1" x14ac:dyDescent="0.25">
      <c r="B103" s="88" t="str">
        <f>IF(ISBLANK('N1. Demand'!B30),"",'N1. Demand'!B30)</f>
        <v>Tariff D West</v>
      </c>
      <c r="C103" s="354">
        <v>69</v>
      </c>
      <c r="D103" s="354">
        <v>71</v>
      </c>
      <c r="E103" s="354">
        <v>72</v>
      </c>
      <c r="F103" s="354">
        <v>74</v>
      </c>
      <c r="G103" s="354">
        <v>74</v>
      </c>
      <c r="H103" s="354">
        <v>76</v>
      </c>
      <c r="I103" s="354">
        <v>78</v>
      </c>
      <c r="J103" s="354">
        <v>76</v>
      </c>
      <c r="K103" s="355">
        <v>75</v>
      </c>
    </row>
    <row r="104" spans="2:11" s="1279" customFormat="1" outlineLevel="1" x14ac:dyDescent="0.25">
      <c r="B104" s="88" t="str">
        <f>IF(ISBLANK('N1. Demand'!B31),"",'N1. Demand'!B31)</f>
        <v>Tariff D Adjoining West</v>
      </c>
      <c r="C104" s="354">
        <v>1</v>
      </c>
      <c r="D104" s="354">
        <v>1</v>
      </c>
      <c r="E104" s="354">
        <v>1</v>
      </c>
      <c r="F104" s="354">
        <v>1</v>
      </c>
      <c r="G104" s="354">
        <v>1</v>
      </c>
      <c r="H104" s="354">
        <v>1</v>
      </c>
      <c r="I104" s="354">
        <v>1</v>
      </c>
      <c r="J104" s="354">
        <v>1</v>
      </c>
      <c r="K104" s="355">
        <v>1</v>
      </c>
    </row>
    <row r="105" spans="2:11" s="1279" customFormat="1" outlineLevel="1" x14ac:dyDescent="0.25">
      <c r="B105" s="88" t="str">
        <f>IF(ISBLANK('N1. Demand'!B32),"",'N1. Demand'!B32)</f>
        <v>Tariff M Central</v>
      </c>
      <c r="C105" s="354">
        <v>25</v>
      </c>
      <c r="D105" s="354">
        <v>27</v>
      </c>
      <c r="E105" s="354">
        <v>28</v>
      </c>
      <c r="F105" s="354">
        <v>28</v>
      </c>
      <c r="G105" s="354">
        <v>28</v>
      </c>
      <c r="H105" s="354">
        <v>28</v>
      </c>
      <c r="I105" s="354">
        <v>28</v>
      </c>
      <c r="J105" s="354">
        <v>28</v>
      </c>
      <c r="K105" s="355">
        <v>30</v>
      </c>
    </row>
    <row r="106" spans="2:11" s="1279" customFormat="1" outlineLevel="1" x14ac:dyDescent="0.25">
      <c r="B106" s="88" t="str">
        <f>IF(ISBLANK('N1. Demand'!B33),"",'N1. Demand'!B33)</f>
        <v>Tariff M Adjoining Central</v>
      </c>
      <c r="C106" s="354">
        <v>0</v>
      </c>
      <c r="D106" s="354">
        <v>0</v>
      </c>
      <c r="E106" s="354">
        <v>0</v>
      </c>
      <c r="F106" s="354">
        <v>0</v>
      </c>
      <c r="G106" s="354">
        <v>0</v>
      </c>
      <c r="H106" s="354">
        <v>0</v>
      </c>
      <c r="I106" s="354">
        <v>0</v>
      </c>
      <c r="J106" s="354">
        <v>0</v>
      </c>
      <c r="K106" s="355">
        <v>0</v>
      </c>
    </row>
    <row r="107" spans="2:11" s="1279" customFormat="1" outlineLevel="1" x14ac:dyDescent="0.25">
      <c r="B107" s="88" t="str">
        <f>IF(ISBLANK('N1. Demand'!B34),"",'N1. Demand'!B34)</f>
        <v>Tariff M West</v>
      </c>
      <c r="C107" s="354">
        <v>6</v>
      </c>
      <c r="D107" s="354">
        <v>6</v>
      </c>
      <c r="E107" s="354">
        <v>6</v>
      </c>
      <c r="F107" s="354">
        <v>6</v>
      </c>
      <c r="G107" s="354">
        <v>6</v>
      </c>
      <c r="H107" s="354">
        <v>6</v>
      </c>
      <c r="I107" s="354">
        <v>6</v>
      </c>
      <c r="J107" s="354">
        <v>6</v>
      </c>
      <c r="K107" s="355">
        <v>6</v>
      </c>
    </row>
    <row r="108" spans="2:11" s="1279" customFormat="1" outlineLevel="1" x14ac:dyDescent="0.25">
      <c r="B108" s="88" t="str">
        <f>IF(ISBLANK('N1. Demand'!B35),"",'N1. Demand'!B35)</f>
        <v>Tariff M Adjoining West</v>
      </c>
      <c r="C108" s="354">
        <v>0</v>
      </c>
      <c r="D108" s="354">
        <v>0</v>
      </c>
      <c r="E108" s="354">
        <v>0</v>
      </c>
      <c r="F108" s="354">
        <v>0</v>
      </c>
      <c r="G108" s="354">
        <v>0</v>
      </c>
      <c r="H108" s="354">
        <v>0</v>
      </c>
      <c r="I108" s="354">
        <v>0</v>
      </c>
      <c r="J108" s="354">
        <v>0</v>
      </c>
      <c r="K108" s="355">
        <v>0</v>
      </c>
    </row>
    <row r="109" spans="2:11" s="1279" customFormat="1" outlineLevel="1" x14ac:dyDescent="0.25">
      <c r="B109" s="88" t="str">
        <f>IF(ISBLANK('N1. Demand'!B36),"",'N1. Demand'!B36)</f>
        <v>T17</v>
      </c>
      <c r="C109" s="354"/>
      <c r="D109" s="354"/>
      <c r="E109" s="354"/>
      <c r="F109" s="354"/>
      <c r="G109" s="354"/>
      <c r="H109" s="354"/>
      <c r="I109" s="354"/>
      <c r="J109" s="354"/>
      <c r="K109" s="355"/>
    </row>
    <row r="110" spans="2:11" s="1279" customFormat="1" outlineLevel="1" x14ac:dyDescent="0.25">
      <c r="B110" s="88" t="str">
        <f>IF(ISBLANK('N1. Demand'!B37),"",'N1. Demand'!B37)</f>
        <v>T18</v>
      </c>
      <c r="C110" s="354"/>
      <c r="D110" s="354"/>
      <c r="E110" s="354"/>
      <c r="F110" s="354"/>
      <c r="G110" s="354"/>
      <c r="H110" s="354"/>
      <c r="I110" s="354"/>
      <c r="J110" s="354"/>
      <c r="K110" s="355"/>
    </row>
    <row r="111" spans="2:11" s="1279" customFormat="1" outlineLevel="1" x14ac:dyDescent="0.25">
      <c r="B111" s="88" t="str">
        <f>IF(ISBLANK('N1. Demand'!B38),"",'N1. Demand'!B38)</f>
        <v>T19</v>
      </c>
      <c r="C111" s="354"/>
      <c r="D111" s="354"/>
      <c r="E111" s="354"/>
      <c r="F111" s="354"/>
      <c r="G111" s="354"/>
      <c r="H111" s="354"/>
      <c r="I111" s="354"/>
      <c r="J111" s="354"/>
      <c r="K111" s="355"/>
    </row>
    <row r="112" spans="2:11" s="1279" customFormat="1" outlineLevel="1" x14ac:dyDescent="0.25">
      <c r="B112" s="88" t="str">
        <f>IF(ISBLANK('N1. Demand'!B39),"",'N1. Demand'!B39)</f>
        <v>T20</v>
      </c>
      <c r="C112" s="354"/>
      <c r="D112" s="354"/>
      <c r="E112" s="354"/>
      <c r="F112" s="354"/>
      <c r="G112" s="354"/>
      <c r="H112" s="354"/>
      <c r="I112" s="354"/>
      <c r="J112" s="354"/>
      <c r="K112" s="355"/>
    </row>
    <row r="113" spans="2:11" s="1279" customFormat="1" outlineLevel="1" x14ac:dyDescent="0.25">
      <c r="B113" s="88" t="str">
        <f>IF(ISBLANK('N1. Demand'!B40),"",'N1. Demand'!B40)</f>
        <v>T21</v>
      </c>
      <c r="C113" s="354"/>
      <c r="D113" s="354"/>
      <c r="E113" s="354"/>
      <c r="F113" s="354"/>
      <c r="G113" s="354"/>
      <c r="H113" s="354"/>
      <c r="I113" s="354"/>
      <c r="J113" s="354"/>
      <c r="K113" s="355"/>
    </row>
    <row r="114" spans="2:11" s="1279" customFormat="1" outlineLevel="1" x14ac:dyDescent="0.25">
      <c r="B114" s="88" t="str">
        <f>IF(ISBLANK('N1. Demand'!B41),"",'N1. Demand'!B41)</f>
        <v>T22</v>
      </c>
      <c r="C114" s="354"/>
      <c r="D114" s="354"/>
      <c r="E114" s="354"/>
      <c r="F114" s="354"/>
      <c r="G114" s="354"/>
      <c r="H114" s="354"/>
      <c r="I114" s="354"/>
      <c r="J114" s="354"/>
      <c r="K114" s="355"/>
    </row>
    <row r="115" spans="2:11" s="1279" customFormat="1" outlineLevel="1" x14ac:dyDescent="0.25">
      <c r="B115" s="88" t="str">
        <f>IF(ISBLANK('N1. Demand'!B42),"",'N1. Demand'!B42)</f>
        <v>T23</v>
      </c>
      <c r="C115" s="354"/>
      <c r="D115" s="354"/>
      <c r="E115" s="354"/>
      <c r="F115" s="354"/>
      <c r="G115" s="354"/>
      <c r="H115" s="354"/>
      <c r="I115" s="354"/>
      <c r="J115" s="354"/>
      <c r="K115" s="355"/>
    </row>
    <row r="116" spans="2:11" s="1279" customFormat="1" outlineLevel="1" x14ac:dyDescent="0.25">
      <c r="B116" s="88" t="str">
        <f>IF(ISBLANK('N1. Demand'!B43),"",'N1. Demand'!B43)</f>
        <v>T24</v>
      </c>
      <c r="C116" s="354"/>
      <c r="D116" s="354"/>
      <c r="E116" s="354"/>
      <c r="F116" s="354"/>
      <c r="G116" s="354"/>
      <c r="H116" s="354"/>
      <c r="I116" s="354"/>
      <c r="J116" s="354"/>
      <c r="K116" s="355"/>
    </row>
    <row r="117" spans="2:11" s="1279" customFormat="1" outlineLevel="1" x14ac:dyDescent="0.25">
      <c r="B117" s="88" t="str">
        <f>IF(ISBLANK('N1. Demand'!B44),"",'N1. Demand'!B44)</f>
        <v>T25</v>
      </c>
      <c r="C117" s="354"/>
      <c r="D117" s="354"/>
      <c r="E117" s="354"/>
      <c r="F117" s="354"/>
      <c r="G117" s="354"/>
      <c r="H117" s="354"/>
      <c r="I117" s="354"/>
      <c r="J117" s="354"/>
      <c r="K117" s="355"/>
    </row>
    <row r="118" spans="2:11" s="1279" customFormat="1" outlineLevel="1" x14ac:dyDescent="0.25">
      <c r="B118" s="88" t="str">
        <f>IF(ISBLANK('N1. Demand'!B45),"",'N1. Demand'!B45)</f>
        <v>T26</v>
      </c>
      <c r="C118" s="354"/>
      <c r="D118" s="354"/>
      <c r="E118" s="354"/>
      <c r="F118" s="354"/>
      <c r="G118" s="354"/>
      <c r="H118" s="354"/>
      <c r="I118" s="354"/>
      <c r="J118" s="354"/>
      <c r="K118" s="355"/>
    </row>
    <row r="119" spans="2:11" s="1279" customFormat="1" outlineLevel="1" x14ac:dyDescent="0.25">
      <c r="B119" s="88" t="str">
        <f>IF(ISBLANK('N1. Demand'!B46),"",'N1. Demand'!B46)</f>
        <v>T27</v>
      </c>
      <c r="C119" s="354"/>
      <c r="D119" s="354"/>
      <c r="E119" s="354"/>
      <c r="F119" s="354"/>
      <c r="G119" s="354"/>
      <c r="H119" s="354"/>
      <c r="I119" s="354"/>
      <c r="J119" s="354"/>
      <c r="K119" s="355"/>
    </row>
    <row r="120" spans="2:11" s="1279" customFormat="1" outlineLevel="1" x14ac:dyDescent="0.25">
      <c r="B120" s="88" t="str">
        <f>IF(ISBLANK('N1. Demand'!B47),"",'N1. Demand'!B47)</f>
        <v>T28</v>
      </c>
      <c r="C120" s="354"/>
      <c r="D120" s="354"/>
      <c r="E120" s="354"/>
      <c r="F120" s="354"/>
      <c r="G120" s="354"/>
      <c r="H120" s="354"/>
      <c r="I120" s="354"/>
      <c r="J120" s="354"/>
      <c r="K120" s="355"/>
    </row>
    <row r="121" spans="2:11" s="1279" customFormat="1" outlineLevel="1" x14ac:dyDescent="0.25">
      <c r="B121" s="88" t="str">
        <f>IF(ISBLANK('N1. Demand'!B48),"",'N1. Demand'!B48)</f>
        <v>T29</v>
      </c>
      <c r="C121" s="354"/>
      <c r="D121" s="354"/>
      <c r="E121" s="354"/>
      <c r="F121" s="354"/>
      <c r="G121" s="354"/>
      <c r="H121" s="354"/>
      <c r="I121" s="354"/>
      <c r="J121" s="354"/>
      <c r="K121" s="355"/>
    </row>
    <row r="122" spans="2:11" s="1279" customFormat="1" outlineLevel="1" x14ac:dyDescent="0.25">
      <c r="B122" s="88" t="str">
        <f>IF(ISBLANK('N1. Demand'!B49),"",'N1. Demand'!B49)</f>
        <v>T30</v>
      </c>
      <c r="C122" s="354"/>
      <c r="D122" s="354"/>
      <c r="E122" s="354"/>
      <c r="F122" s="354"/>
      <c r="G122" s="354"/>
      <c r="H122" s="354"/>
      <c r="I122" s="354"/>
      <c r="J122" s="354"/>
      <c r="K122" s="355"/>
    </row>
    <row r="123" spans="2:11" outlineLevel="1" x14ac:dyDescent="0.25">
      <c r="B123" s="88" t="str">
        <f>IF(ISBLANK('N1. Demand'!B50),"",'N1. Demand'!B50)</f>
        <v>T31</v>
      </c>
      <c r="C123" s="354"/>
      <c r="D123" s="354"/>
      <c r="E123" s="354"/>
      <c r="F123" s="354"/>
      <c r="G123" s="354"/>
      <c r="H123" s="354"/>
      <c r="I123" s="354"/>
      <c r="J123" s="354"/>
      <c r="K123" s="355"/>
    </row>
    <row r="124" spans="2:11" outlineLevel="1" x14ac:dyDescent="0.25">
      <c r="B124" s="88" t="str">
        <f>IF(ISBLANK('N1. Demand'!B51),"",'N1. Demand'!B51)</f>
        <v>T32</v>
      </c>
      <c r="C124" s="354"/>
      <c r="D124" s="354"/>
      <c r="E124" s="354"/>
      <c r="F124" s="354"/>
      <c r="G124" s="354"/>
      <c r="H124" s="354"/>
      <c r="I124" s="354"/>
      <c r="J124" s="354"/>
      <c r="K124" s="355"/>
    </row>
    <row r="125" spans="2:11" outlineLevel="1" x14ac:dyDescent="0.25">
      <c r="B125" s="88" t="str">
        <f>IF(ISBLANK('N1. Demand'!B52),"",'N1. Demand'!B52)</f>
        <v>T33</v>
      </c>
      <c r="C125" s="354"/>
      <c r="D125" s="354"/>
      <c r="E125" s="354"/>
      <c r="F125" s="354"/>
      <c r="G125" s="354"/>
      <c r="H125" s="354"/>
      <c r="I125" s="354"/>
      <c r="J125" s="354"/>
      <c r="K125" s="355"/>
    </row>
    <row r="126" spans="2:11" outlineLevel="1" x14ac:dyDescent="0.25">
      <c r="B126" s="88" t="str">
        <f>IF(ISBLANK('N1. Demand'!B53),"",'N1. Demand'!B53)</f>
        <v>T34</v>
      </c>
      <c r="C126" s="354"/>
      <c r="D126" s="354"/>
      <c r="E126" s="354"/>
      <c r="F126" s="354"/>
      <c r="G126" s="354"/>
      <c r="H126" s="354"/>
      <c r="I126" s="354"/>
      <c r="J126" s="354"/>
      <c r="K126" s="355"/>
    </row>
    <row r="127" spans="2:11" outlineLevel="1" x14ac:dyDescent="0.25">
      <c r="B127" s="88" t="str">
        <f>IF(ISBLANK('N1. Demand'!B54),"",'N1. Demand'!B54)</f>
        <v>T35</v>
      </c>
      <c r="C127" s="354"/>
      <c r="D127" s="354"/>
      <c r="E127" s="354"/>
      <c r="F127" s="354"/>
      <c r="G127" s="354"/>
      <c r="H127" s="354"/>
      <c r="I127" s="354"/>
      <c r="J127" s="354"/>
      <c r="K127" s="355"/>
    </row>
    <row r="128" spans="2:11" outlineLevel="1" x14ac:dyDescent="0.25">
      <c r="B128" s="88" t="str">
        <f>IF(ISBLANK('N1. Demand'!B55),"",'N1. Demand'!B55)</f>
        <v>T36</v>
      </c>
      <c r="C128" s="354"/>
      <c r="D128" s="354"/>
      <c r="E128" s="354"/>
      <c r="F128" s="354"/>
      <c r="G128" s="354"/>
      <c r="H128" s="354"/>
      <c r="I128" s="354"/>
      <c r="J128" s="354"/>
      <c r="K128" s="355"/>
    </row>
    <row r="129" spans="2:11" outlineLevel="1" x14ac:dyDescent="0.25">
      <c r="B129" s="88" t="str">
        <f>IF(ISBLANK('N1. Demand'!B56),"",'N1. Demand'!B56)</f>
        <v>T37</v>
      </c>
      <c r="C129" s="354"/>
      <c r="D129" s="354"/>
      <c r="E129" s="354"/>
      <c r="F129" s="354"/>
      <c r="G129" s="354"/>
      <c r="H129" s="354"/>
      <c r="I129" s="354"/>
      <c r="J129" s="354"/>
      <c r="K129" s="355"/>
    </row>
    <row r="130" spans="2:11" outlineLevel="1" x14ac:dyDescent="0.25">
      <c r="B130" s="88" t="str">
        <f>IF(ISBLANK('N1. Demand'!B57),"",'N1. Demand'!B57)</f>
        <v>T38</v>
      </c>
      <c r="C130" s="354"/>
      <c r="D130" s="354"/>
      <c r="E130" s="354"/>
      <c r="F130" s="354"/>
      <c r="G130" s="354"/>
      <c r="H130" s="354"/>
      <c r="I130" s="354"/>
      <c r="J130" s="354"/>
      <c r="K130" s="355"/>
    </row>
    <row r="131" spans="2:11" outlineLevel="1" x14ac:dyDescent="0.25">
      <c r="B131" s="88" t="str">
        <f>IF(ISBLANK('N1. Demand'!B58),"",'N1. Demand'!B58)</f>
        <v>T39</v>
      </c>
      <c r="C131" s="354"/>
      <c r="D131" s="354"/>
      <c r="E131" s="354"/>
      <c r="F131" s="354"/>
      <c r="G131" s="354"/>
      <c r="H131" s="354"/>
      <c r="I131" s="354"/>
      <c r="J131" s="354"/>
      <c r="K131" s="355"/>
    </row>
    <row r="132" spans="2:11" outlineLevel="1" x14ac:dyDescent="0.25">
      <c r="B132" s="88" t="str">
        <f>IF(ISBLANK('N1. Demand'!B59),"",'N1. Demand'!B59)</f>
        <v>T40</v>
      </c>
      <c r="C132" s="354"/>
      <c r="D132" s="354"/>
      <c r="E132" s="354"/>
      <c r="F132" s="354"/>
      <c r="G132" s="354"/>
      <c r="H132" s="354"/>
      <c r="I132" s="354"/>
      <c r="J132" s="354"/>
      <c r="K132" s="355"/>
    </row>
    <row r="133" spans="2:11" outlineLevel="1" x14ac:dyDescent="0.25">
      <c r="B133" s="88" t="str">
        <f>IF(ISBLANK('N1. Demand'!B60),"",'N1. Demand'!B60)</f>
        <v>T41</v>
      </c>
      <c r="C133" s="354"/>
      <c r="D133" s="354"/>
      <c r="E133" s="354"/>
      <c r="F133" s="354"/>
      <c r="G133" s="354"/>
      <c r="H133" s="354"/>
      <c r="I133" s="354"/>
      <c r="J133" s="354"/>
      <c r="K133" s="355"/>
    </row>
    <row r="134" spans="2:11" outlineLevel="1" x14ac:dyDescent="0.25">
      <c r="B134" s="88" t="str">
        <f>IF(ISBLANK('N1. Demand'!B61),"",'N1. Demand'!B61)</f>
        <v>T42</v>
      </c>
      <c r="C134" s="354"/>
      <c r="D134" s="354"/>
      <c r="E134" s="354"/>
      <c r="F134" s="354"/>
      <c r="G134" s="354"/>
      <c r="H134" s="354"/>
      <c r="I134" s="354"/>
      <c r="J134" s="354"/>
      <c r="K134" s="355"/>
    </row>
    <row r="135" spans="2:11" outlineLevel="1" x14ac:dyDescent="0.25">
      <c r="B135" s="88" t="str">
        <f>IF(ISBLANK('N1. Demand'!B62),"",'N1. Demand'!B62)</f>
        <v>T43</v>
      </c>
      <c r="C135" s="354"/>
      <c r="D135" s="354"/>
      <c r="E135" s="354"/>
      <c r="F135" s="354"/>
      <c r="G135" s="354"/>
      <c r="H135" s="354"/>
      <c r="I135" s="354"/>
      <c r="J135" s="354"/>
      <c r="K135" s="355"/>
    </row>
    <row r="136" spans="2:11" outlineLevel="1" x14ac:dyDescent="0.25">
      <c r="B136" s="88" t="str">
        <f>IF(ISBLANK('N1. Demand'!B63),"",'N1. Demand'!B63)</f>
        <v>T44</v>
      </c>
      <c r="C136" s="354"/>
      <c r="D136" s="354"/>
      <c r="E136" s="354"/>
      <c r="F136" s="354"/>
      <c r="G136" s="354"/>
      <c r="H136" s="354"/>
      <c r="I136" s="354"/>
      <c r="J136" s="354"/>
      <c r="K136" s="355"/>
    </row>
    <row r="137" spans="2:11" outlineLevel="1" x14ac:dyDescent="0.25">
      <c r="B137" s="88" t="str">
        <f>IF(ISBLANK('N1. Demand'!B64),"",'N1. Demand'!B64)</f>
        <v>T45</v>
      </c>
      <c r="C137" s="354"/>
      <c r="D137" s="354"/>
      <c r="E137" s="354"/>
      <c r="F137" s="354"/>
      <c r="G137" s="354"/>
      <c r="H137" s="354"/>
      <c r="I137" s="354"/>
      <c r="J137" s="354"/>
      <c r="K137" s="355"/>
    </row>
    <row r="138" spans="2:11" outlineLevel="1" x14ac:dyDescent="0.25">
      <c r="B138" s="88" t="str">
        <f>IF(ISBLANK('N1. Demand'!B65),"",'N1. Demand'!B65)</f>
        <v>T46</v>
      </c>
      <c r="C138" s="354"/>
      <c r="D138" s="354"/>
      <c r="E138" s="354"/>
      <c r="F138" s="354"/>
      <c r="G138" s="354"/>
      <c r="H138" s="354"/>
      <c r="I138" s="354"/>
      <c r="J138" s="354"/>
      <c r="K138" s="355"/>
    </row>
    <row r="139" spans="2:11" outlineLevel="1" x14ac:dyDescent="0.25">
      <c r="B139" s="88" t="str">
        <f>IF(ISBLANK('N1. Demand'!B66),"",'N1. Demand'!B66)</f>
        <v>T47</v>
      </c>
      <c r="C139" s="354"/>
      <c r="D139" s="354"/>
      <c r="E139" s="354"/>
      <c r="F139" s="354"/>
      <c r="G139" s="354"/>
      <c r="H139" s="354"/>
      <c r="I139" s="354"/>
      <c r="J139" s="354"/>
      <c r="K139" s="355"/>
    </row>
    <row r="140" spans="2:11" outlineLevel="1" x14ac:dyDescent="0.25">
      <c r="B140" s="88" t="str">
        <f>IF(ISBLANK('N1. Demand'!B67),"",'N1. Demand'!B67)</f>
        <v>T48</v>
      </c>
      <c r="C140" s="354"/>
      <c r="D140" s="354"/>
      <c r="E140" s="354"/>
      <c r="F140" s="354"/>
      <c r="G140" s="354"/>
      <c r="H140" s="354"/>
      <c r="I140" s="354"/>
      <c r="J140" s="354"/>
      <c r="K140" s="355"/>
    </row>
    <row r="141" spans="2:11" outlineLevel="1" x14ac:dyDescent="0.25">
      <c r="B141" s="88" t="str">
        <f>IF(ISBLANK('N1. Demand'!B68),"",'N1. Demand'!B68)</f>
        <v>T49</v>
      </c>
      <c r="C141" s="354"/>
      <c r="D141" s="354"/>
      <c r="E141" s="354"/>
      <c r="F141" s="354"/>
      <c r="G141" s="354"/>
      <c r="H141" s="354"/>
      <c r="I141" s="354"/>
      <c r="J141" s="354"/>
      <c r="K141" s="355"/>
    </row>
    <row r="142" spans="2:11" s="1356" customFormat="1" outlineLevel="1" x14ac:dyDescent="0.25">
      <c r="B142" s="88" t="str">
        <f>IF(ISBLANK('N1. Demand'!B69),"",'N1. Demand'!B69)</f>
        <v>T50</v>
      </c>
      <c r="C142" s="354"/>
      <c r="D142" s="354"/>
      <c r="E142" s="354"/>
      <c r="F142" s="354"/>
      <c r="G142" s="354"/>
      <c r="H142" s="354"/>
      <c r="I142" s="354"/>
      <c r="J142" s="354"/>
      <c r="K142" s="355"/>
    </row>
    <row r="143" spans="2:11" s="1356" customFormat="1" outlineLevel="1" x14ac:dyDescent="0.25">
      <c r="B143" s="88" t="str">
        <f>IF(ISBLANK('N1. Demand'!B70),"",'N1. Demand'!B70)</f>
        <v>T51</v>
      </c>
      <c r="C143" s="354"/>
      <c r="D143" s="354"/>
      <c r="E143" s="354"/>
      <c r="F143" s="354"/>
      <c r="G143" s="354"/>
      <c r="H143" s="354"/>
      <c r="I143" s="354"/>
      <c r="J143" s="354"/>
      <c r="K143" s="355"/>
    </row>
    <row r="144" spans="2:11" s="1356" customFormat="1" outlineLevel="1" x14ac:dyDescent="0.25">
      <c r="B144" s="88" t="str">
        <f>IF(ISBLANK('N1. Demand'!B71),"",'N1. Demand'!B71)</f>
        <v>T52</v>
      </c>
      <c r="C144" s="354"/>
      <c r="D144" s="354"/>
      <c r="E144" s="354"/>
      <c r="F144" s="354"/>
      <c r="G144" s="354"/>
      <c r="H144" s="354"/>
      <c r="I144" s="354"/>
      <c r="J144" s="354"/>
      <c r="K144" s="355"/>
    </row>
    <row r="145" spans="2:11" s="1356" customFormat="1" outlineLevel="1" x14ac:dyDescent="0.25">
      <c r="B145" s="88" t="str">
        <f>IF(ISBLANK('N1. Demand'!B72),"",'N1. Demand'!B72)</f>
        <v>T53</v>
      </c>
      <c r="C145" s="354"/>
      <c r="D145" s="354"/>
      <c r="E145" s="354"/>
      <c r="F145" s="354"/>
      <c r="G145" s="354"/>
      <c r="H145" s="354"/>
      <c r="I145" s="354"/>
      <c r="J145" s="354"/>
      <c r="K145" s="355"/>
    </row>
    <row r="146" spans="2:11" s="1356" customFormat="1" outlineLevel="1" x14ac:dyDescent="0.25">
      <c r="B146" s="88" t="str">
        <f>IF(ISBLANK('N1. Demand'!B73),"",'N1. Demand'!B73)</f>
        <v>T54</v>
      </c>
      <c r="C146" s="354"/>
      <c r="D146" s="354"/>
      <c r="E146" s="354"/>
      <c r="F146" s="354"/>
      <c r="G146" s="354"/>
      <c r="H146" s="354"/>
      <c r="I146" s="354"/>
      <c r="J146" s="354"/>
      <c r="K146" s="355"/>
    </row>
    <row r="147" spans="2:11" s="1356" customFormat="1" outlineLevel="1" x14ac:dyDescent="0.25">
      <c r="B147" s="88" t="str">
        <f>IF(ISBLANK('N1. Demand'!B74),"",'N1. Demand'!B74)</f>
        <v>T55</v>
      </c>
      <c r="C147" s="354"/>
      <c r="D147" s="354"/>
      <c r="E147" s="354"/>
      <c r="F147" s="354"/>
      <c r="G147" s="354"/>
      <c r="H147" s="354"/>
      <c r="I147" s="354"/>
      <c r="J147" s="354"/>
      <c r="K147" s="355"/>
    </row>
    <row r="148" spans="2:11" s="1356" customFormat="1" outlineLevel="1" x14ac:dyDescent="0.25">
      <c r="B148" s="88" t="str">
        <f>IF(ISBLANK('N1. Demand'!B75),"",'N1. Demand'!B75)</f>
        <v>T56</v>
      </c>
      <c r="C148" s="354"/>
      <c r="D148" s="354"/>
      <c r="E148" s="354"/>
      <c r="F148" s="354"/>
      <c r="G148" s="354"/>
      <c r="H148" s="354"/>
      <c r="I148" s="354"/>
      <c r="J148" s="354"/>
      <c r="K148" s="355"/>
    </row>
    <row r="149" spans="2:11" s="1356" customFormat="1" outlineLevel="1" x14ac:dyDescent="0.25">
      <c r="B149" s="88" t="str">
        <f>IF(ISBLANK('N1. Demand'!B76),"",'N1. Demand'!B76)</f>
        <v>T57</v>
      </c>
      <c r="C149" s="354"/>
      <c r="D149" s="354"/>
      <c r="E149" s="354"/>
      <c r="F149" s="354"/>
      <c r="G149" s="354"/>
      <c r="H149" s="354"/>
      <c r="I149" s="354"/>
      <c r="J149" s="354"/>
      <c r="K149" s="355"/>
    </row>
    <row r="150" spans="2:11" s="1356" customFormat="1" outlineLevel="1" x14ac:dyDescent="0.25">
      <c r="B150" s="88" t="str">
        <f>IF(ISBLANK('N1. Demand'!B77),"",'N1. Demand'!B77)</f>
        <v>T58</v>
      </c>
      <c r="C150" s="354"/>
      <c r="D150" s="354"/>
      <c r="E150" s="354"/>
      <c r="F150" s="354"/>
      <c r="G150" s="354"/>
      <c r="H150" s="354"/>
      <c r="I150" s="354"/>
      <c r="J150" s="354"/>
      <c r="K150" s="355"/>
    </row>
    <row r="151" spans="2:11" s="1356" customFormat="1" outlineLevel="1" x14ac:dyDescent="0.25">
      <c r="B151" s="88" t="str">
        <f>IF(ISBLANK('N1. Demand'!B78),"",'N1. Demand'!B78)</f>
        <v>T59</v>
      </c>
      <c r="C151" s="354"/>
      <c r="D151" s="354"/>
      <c r="E151" s="354"/>
      <c r="F151" s="354"/>
      <c r="G151" s="354"/>
      <c r="H151" s="354"/>
      <c r="I151" s="354"/>
      <c r="J151" s="354"/>
      <c r="K151" s="355"/>
    </row>
    <row r="152" spans="2:11" s="1356" customFormat="1" outlineLevel="1" x14ac:dyDescent="0.25">
      <c r="B152" s="88" t="str">
        <f>IF(ISBLANK('N1. Demand'!B79),"",'N1. Demand'!B79)</f>
        <v>T60</v>
      </c>
      <c r="C152" s="354"/>
      <c r="D152" s="354"/>
      <c r="E152" s="354"/>
      <c r="F152" s="354"/>
      <c r="G152" s="354"/>
      <c r="H152" s="354"/>
      <c r="I152" s="354"/>
      <c r="J152" s="354"/>
      <c r="K152" s="355"/>
    </row>
    <row r="153" spans="2:11" s="1356" customFormat="1" outlineLevel="1" x14ac:dyDescent="0.25">
      <c r="B153" s="88" t="str">
        <f>IF(ISBLANK('N1. Demand'!B80),"",'N1. Demand'!B80)</f>
        <v>T61</v>
      </c>
      <c r="C153" s="354"/>
      <c r="D153" s="354"/>
      <c r="E153" s="354"/>
      <c r="F153" s="354"/>
      <c r="G153" s="354"/>
      <c r="H153" s="354"/>
      <c r="I153" s="354"/>
      <c r="J153" s="354"/>
      <c r="K153" s="355"/>
    </row>
    <row r="154" spans="2:11" s="1356" customFormat="1" outlineLevel="1" x14ac:dyDescent="0.25">
      <c r="B154" s="88" t="str">
        <f>IF(ISBLANK('N1. Demand'!B81),"",'N1. Demand'!B81)</f>
        <v>T62</v>
      </c>
      <c r="C154" s="354"/>
      <c r="D154" s="354"/>
      <c r="E154" s="354"/>
      <c r="F154" s="354"/>
      <c r="G154" s="354"/>
      <c r="H154" s="354"/>
      <c r="I154" s="354"/>
      <c r="J154" s="354"/>
      <c r="K154" s="355"/>
    </row>
    <row r="155" spans="2:11" s="1356" customFormat="1" outlineLevel="1" x14ac:dyDescent="0.25">
      <c r="B155" s="88" t="str">
        <f>IF(ISBLANK('N1. Demand'!B82),"",'N1. Demand'!B82)</f>
        <v>T63</v>
      </c>
      <c r="C155" s="354"/>
      <c r="D155" s="354"/>
      <c r="E155" s="354"/>
      <c r="F155" s="354"/>
      <c r="G155" s="354"/>
      <c r="H155" s="354"/>
      <c r="I155" s="354"/>
      <c r="J155" s="354"/>
      <c r="K155" s="355"/>
    </row>
    <row r="156" spans="2:11" s="1356" customFormat="1" outlineLevel="1" x14ac:dyDescent="0.25">
      <c r="B156" s="88" t="str">
        <f>IF(ISBLANK('N1. Demand'!B83),"",'N1. Demand'!B83)</f>
        <v>T64</v>
      </c>
      <c r="C156" s="354"/>
      <c r="D156" s="354"/>
      <c r="E156" s="354"/>
      <c r="F156" s="354"/>
      <c r="G156" s="354"/>
      <c r="H156" s="354"/>
      <c r="I156" s="354"/>
      <c r="J156" s="354"/>
      <c r="K156" s="355"/>
    </row>
    <row r="157" spans="2:11" s="1356" customFormat="1" outlineLevel="1" x14ac:dyDescent="0.25">
      <c r="B157" s="88" t="str">
        <f>IF(ISBLANK('N1. Demand'!B84),"",'N1. Demand'!B84)</f>
        <v>T65</v>
      </c>
      <c r="C157" s="354"/>
      <c r="D157" s="354"/>
      <c r="E157" s="354"/>
      <c r="F157" s="354"/>
      <c r="G157" s="354"/>
      <c r="H157" s="354"/>
      <c r="I157" s="354"/>
      <c r="J157" s="354"/>
      <c r="K157" s="355"/>
    </row>
    <row r="158" spans="2:11" s="1356" customFormat="1" outlineLevel="1" x14ac:dyDescent="0.25">
      <c r="B158" s="88" t="str">
        <f>IF(ISBLANK('N1. Demand'!B85),"",'N1. Demand'!B85)</f>
        <v>T66</v>
      </c>
      <c r="C158" s="354"/>
      <c r="D158" s="354"/>
      <c r="E158" s="354"/>
      <c r="F158" s="354"/>
      <c r="G158" s="354"/>
      <c r="H158" s="354"/>
      <c r="I158" s="354"/>
      <c r="J158" s="354"/>
      <c r="K158" s="355"/>
    </row>
    <row r="159" spans="2:11" s="1356" customFormat="1" outlineLevel="1" x14ac:dyDescent="0.25">
      <c r="B159" s="88" t="str">
        <f>IF(ISBLANK('N1. Demand'!B86),"",'N1. Demand'!B86)</f>
        <v>T67</v>
      </c>
      <c r="C159" s="354"/>
      <c r="D159" s="354"/>
      <c r="E159" s="354"/>
      <c r="F159" s="354"/>
      <c r="G159" s="354"/>
      <c r="H159" s="354"/>
      <c r="I159" s="354"/>
      <c r="J159" s="354"/>
      <c r="K159" s="355"/>
    </row>
    <row r="160" spans="2:11" s="1356" customFormat="1" outlineLevel="1" x14ac:dyDescent="0.25">
      <c r="B160" s="88" t="str">
        <f>IF(ISBLANK('N1. Demand'!B87),"",'N1. Demand'!B87)</f>
        <v>T68</v>
      </c>
      <c r="C160" s="354"/>
      <c r="D160" s="354"/>
      <c r="E160" s="354"/>
      <c r="F160" s="354"/>
      <c r="G160" s="354"/>
      <c r="H160" s="354"/>
      <c r="I160" s="354"/>
      <c r="J160" s="354"/>
      <c r="K160" s="355"/>
    </row>
    <row r="161" spans="2:12" s="1356" customFormat="1" outlineLevel="1" x14ac:dyDescent="0.25">
      <c r="B161" s="88" t="str">
        <f>IF(ISBLANK('N1. Demand'!B88),"",'N1. Demand'!B88)</f>
        <v>T69</v>
      </c>
      <c r="C161" s="354"/>
      <c r="D161" s="354"/>
      <c r="E161" s="354"/>
      <c r="F161" s="354"/>
      <c r="G161" s="354"/>
      <c r="H161" s="354"/>
      <c r="I161" s="354"/>
      <c r="J161" s="354"/>
      <c r="K161" s="355"/>
    </row>
    <row r="162" spans="2:12" s="1356" customFormat="1" outlineLevel="1" x14ac:dyDescent="0.25">
      <c r="B162" s="88" t="str">
        <f>IF(ISBLANK('N1. Demand'!B89),"",'N1. Demand'!B89)</f>
        <v>T70</v>
      </c>
      <c r="C162" s="354"/>
      <c r="D162" s="354"/>
      <c r="E162" s="354"/>
      <c r="F162" s="354"/>
      <c r="G162" s="354"/>
      <c r="H162" s="354"/>
      <c r="I162" s="354"/>
      <c r="J162" s="354"/>
      <c r="K162" s="355"/>
    </row>
    <row r="163" spans="2:12" s="1356" customFormat="1" outlineLevel="1" x14ac:dyDescent="0.25">
      <c r="B163" s="88" t="str">
        <f>IF(ISBLANK('N1. Demand'!B90),"",'N1. Demand'!B90)</f>
        <v>T71</v>
      </c>
      <c r="C163" s="354"/>
      <c r="D163" s="354"/>
      <c r="E163" s="354"/>
      <c r="F163" s="354"/>
      <c r="G163" s="354"/>
      <c r="H163" s="354"/>
      <c r="I163" s="354"/>
      <c r="J163" s="354"/>
      <c r="K163" s="355"/>
    </row>
    <row r="164" spans="2:12" s="1356" customFormat="1" outlineLevel="1" x14ac:dyDescent="0.25">
      <c r="B164" s="88" t="str">
        <f>IF(ISBLANK('N1. Demand'!B91),"",'N1. Demand'!B91)</f>
        <v>T72</v>
      </c>
      <c r="C164" s="354"/>
      <c r="D164" s="354"/>
      <c r="E164" s="354"/>
      <c r="F164" s="354"/>
      <c r="G164" s="354"/>
      <c r="H164" s="354"/>
      <c r="I164" s="354"/>
      <c r="J164" s="354"/>
      <c r="K164" s="355"/>
    </row>
    <row r="165" spans="2:12" s="1356" customFormat="1" outlineLevel="1" x14ac:dyDescent="0.25">
      <c r="B165" s="88" t="str">
        <f>IF(ISBLANK('N1. Demand'!B92),"",'N1. Demand'!B92)</f>
        <v>T73</v>
      </c>
      <c r="C165" s="354"/>
      <c r="D165" s="354"/>
      <c r="E165" s="354"/>
      <c r="F165" s="354"/>
      <c r="G165" s="354"/>
      <c r="H165" s="354"/>
      <c r="I165" s="354"/>
      <c r="J165" s="354"/>
      <c r="K165" s="355"/>
    </row>
    <row r="166" spans="2:12" s="1356" customFormat="1" outlineLevel="1" x14ac:dyDescent="0.25">
      <c r="B166" s="88" t="str">
        <f>IF(ISBLANK('N1. Demand'!B93),"",'N1. Demand'!B93)</f>
        <v>T74</v>
      </c>
      <c r="C166" s="354"/>
      <c r="D166" s="354"/>
      <c r="E166" s="354"/>
      <c r="F166" s="354"/>
      <c r="G166" s="354"/>
      <c r="H166" s="354"/>
      <c r="I166" s="354"/>
      <c r="J166" s="354"/>
      <c r="K166" s="355"/>
    </row>
    <row r="167" spans="2:12" outlineLevel="1" x14ac:dyDescent="0.25">
      <c r="B167" s="88" t="str">
        <f>IF(ISBLANK('N1. Demand'!B94),"",'N1. Demand'!B94)</f>
        <v>T75</v>
      </c>
      <c r="C167" s="354"/>
      <c r="D167" s="354"/>
      <c r="E167" s="354"/>
      <c r="F167" s="354"/>
      <c r="G167" s="354"/>
      <c r="H167" s="354"/>
      <c r="I167" s="354"/>
      <c r="J167" s="354"/>
      <c r="K167" s="355"/>
    </row>
    <row r="168" spans="2:12" ht="15.75" outlineLevel="1" thickBot="1" x14ac:dyDescent="0.3">
      <c r="B168" s="340" t="s">
        <v>640</v>
      </c>
      <c r="C168" s="340">
        <f t="shared" ref="C168:K168" si="80">SUM(C93:C167)</f>
        <v>607785</v>
      </c>
      <c r="D168" s="340">
        <f t="shared" si="80"/>
        <v>622884</v>
      </c>
      <c r="E168" s="340">
        <f t="shared" si="80"/>
        <v>636518</v>
      </c>
      <c r="F168" s="340">
        <f t="shared" si="80"/>
        <v>651196</v>
      </c>
      <c r="G168" s="340">
        <f t="shared" si="80"/>
        <v>666391</v>
      </c>
      <c r="H168" s="340">
        <f t="shared" si="80"/>
        <v>682008</v>
      </c>
      <c r="I168" s="340">
        <f t="shared" si="80"/>
        <v>700050</v>
      </c>
      <c r="J168" s="340">
        <f t="shared" si="80"/>
        <v>718175</v>
      </c>
      <c r="K168" s="340">
        <f t="shared" si="80"/>
        <v>738791</v>
      </c>
    </row>
    <row r="170" spans="2:12" ht="15.75" thickBot="1" x14ac:dyDescent="0.3"/>
    <row r="171" spans="2:12" ht="25.5" customHeight="1" thickBot="1" x14ac:dyDescent="0.3">
      <c r="B171" s="311" t="s">
        <v>856</v>
      </c>
      <c r="C171" s="312"/>
      <c r="D171" s="312"/>
      <c r="E171" s="312"/>
      <c r="F171" s="312"/>
      <c r="G171" s="312"/>
      <c r="H171" s="312"/>
      <c r="I171" s="312"/>
      <c r="J171" s="312"/>
      <c r="K171" s="313"/>
    </row>
    <row r="172" spans="2:12" s="509" customFormat="1" ht="25.5" customHeight="1" outlineLevel="1" x14ac:dyDescent="0.25">
      <c r="B172" s="521"/>
      <c r="C172" s="1680" t="s">
        <v>701</v>
      </c>
      <c r="D172" s="1681"/>
      <c r="E172" s="1681"/>
      <c r="F172" s="1681"/>
      <c r="G172" s="1681"/>
      <c r="H172" s="1681"/>
      <c r="I172" s="1681"/>
      <c r="J172" s="1681"/>
      <c r="K172" s="1682"/>
      <c r="L172" s="521"/>
    </row>
    <row r="173" spans="2:12" s="509" customFormat="1" ht="18" customHeight="1" outlineLevel="1" x14ac:dyDescent="0.25">
      <c r="B173" s="116"/>
      <c r="C173" s="1683" t="s">
        <v>181</v>
      </c>
      <c r="D173" s="1684"/>
      <c r="E173" s="1684"/>
      <c r="F173" s="1684"/>
      <c r="G173" s="1684"/>
      <c r="H173" s="1684"/>
      <c r="I173" s="1684"/>
      <c r="J173" s="1684"/>
      <c r="K173" s="1685"/>
      <c r="L173" s="521"/>
    </row>
    <row r="174" spans="2:12" s="509" customFormat="1" ht="15.75" outlineLevel="1" thickBot="1" x14ac:dyDescent="0.3">
      <c r="B174" s="452"/>
      <c r="C174" s="424">
        <f>CRY</f>
        <v>2011</v>
      </c>
      <c r="D174" s="425" t="str">
        <f ca="1">PRCP_y2</f>
        <v>2002</v>
      </c>
      <c r="E174" s="425" t="str">
        <f ca="1">PRCP_y3</f>
        <v>2003</v>
      </c>
      <c r="F174" s="425" t="str">
        <f ca="1">PRCP_y4</f>
        <v>2004</v>
      </c>
      <c r="G174" s="425" t="str">
        <f ca="1">PRCP_y5</f>
        <v>2005</v>
      </c>
      <c r="H174" s="426" t="str">
        <f ca="1">CRCP_y1</f>
        <v>2006</v>
      </c>
      <c r="I174" s="426" t="str">
        <f ca="1">CRCP_y2</f>
        <v>2007</v>
      </c>
      <c r="J174" s="426" t="str">
        <f ca="1">CRCP_y3</f>
        <v>2008</v>
      </c>
      <c r="K174" s="427" t="str">
        <f ca="1">CRCP_y4</f>
        <v>2009</v>
      </c>
      <c r="L174" s="521"/>
    </row>
    <row r="175" spans="2:12" outlineLevel="1" x14ac:dyDescent="0.25">
      <c r="B175" s="88" t="str">
        <f>IF(ISBLANK('N1. Demand'!B20),"",'N1. Demand'!B20)</f>
        <v>Tariff V Central Domestic</v>
      </c>
      <c r="C175" s="354">
        <v>14541</v>
      </c>
      <c r="D175" s="354">
        <v>11872</v>
      </c>
      <c r="E175" s="354">
        <v>11020</v>
      </c>
      <c r="F175" s="354">
        <v>12429</v>
      </c>
      <c r="G175" s="362">
        <v>12994</v>
      </c>
      <c r="H175" s="353">
        <v>13760</v>
      </c>
      <c r="I175" s="354">
        <v>15960</v>
      </c>
      <c r="J175" s="354">
        <v>16998</v>
      </c>
      <c r="K175" s="355">
        <v>18623</v>
      </c>
    </row>
    <row r="176" spans="2:12" outlineLevel="1" x14ac:dyDescent="0.25">
      <c r="B176" s="88" t="str">
        <f>IF(ISBLANK('N1. Demand'!B21),"",'N1. Demand'!B21)</f>
        <v>Tariff V Central Non-Domestic</v>
      </c>
      <c r="C176" s="354">
        <v>222</v>
      </c>
      <c r="D176" s="354">
        <v>252</v>
      </c>
      <c r="E176" s="354">
        <v>263</v>
      </c>
      <c r="F176" s="354">
        <v>258</v>
      </c>
      <c r="G176" s="371">
        <v>370</v>
      </c>
      <c r="H176" s="353">
        <v>363</v>
      </c>
      <c r="I176" s="354">
        <v>263</v>
      </c>
      <c r="J176" s="354">
        <v>163</v>
      </c>
      <c r="K176" s="355">
        <v>179</v>
      </c>
    </row>
    <row r="177" spans="2:11" outlineLevel="1" x14ac:dyDescent="0.25">
      <c r="B177" s="88" t="str">
        <f>IF(ISBLANK('N1. Demand'!B22),"",'N1. Demand'!B22)</f>
        <v>Tariff V Adjoining Central Domestic</v>
      </c>
      <c r="C177" s="354">
        <v>163</v>
      </c>
      <c r="D177" s="354">
        <v>129</v>
      </c>
      <c r="E177" s="354">
        <v>117</v>
      </c>
      <c r="F177" s="354">
        <v>94</v>
      </c>
      <c r="G177" s="371">
        <v>96</v>
      </c>
      <c r="H177" s="353">
        <v>98</v>
      </c>
      <c r="I177" s="354">
        <v>84</v>
      </c>
      <c r="J177" s="354">
        <v>67</v>
      </c>
      <c r="K177" s="355">
        <v>65</v>
      </c>
    </row>
    <row r="178" spans="2:11" outlineLevel="1" x14ac:dyDescent="0.25">
      <c r="B178" s="88" t="str">
        <f>IF(ISBLANK('N1. Demand'!B23),"",'N1. Demand'!B23)</f>
        <v>Tariff V Adjoining Central Non-Domestic</v>
      </c>
      <c r="C178" s="354">
        <v>0</v>
      </c>
      <c r="D178" s="354">
        <v>2</v>
      </c>
      <c r="E178" s="354">
        <v>2</v>
      </c>
      <c r="F178" s="354">
        <v>1</v>
      </c>
      <c r="G178" s="371">
        <v>0</v>
      </c>
      <c r="H178" s="353">
        <v>3</v>
      </c>
      <c r="I178" s="354">
        <v>0</v>
      </c>
      <c r="J178" s="354">
        <v>0</v>
      </c>
      <c r="K178" s="355">
        <v>2</v>
      </c>
    </row>
    <row r="179" spans="2:11" outlineLevel="1" x14ac:dyDescent="0.25">
      <c r="B179" s="88" t="str">
        <f>IF(ISBLANK('N1. Demand'!B24),"",'N1. Demand'!B24)</f>
        <v>Tariff V West Domestic</v>
      </c>
      <c r="C179" s="354">
        <v>3163</v>
      </c>
      <c r="D179" s="354">
        <v>3345</v>
      </c>
      <c r="E179" s="354">
        <v>2936</v>
      </c>
      <c r="F179" s="354">
        <v>2879</v>
      </c>
      <c r="G179" s="371">
        <v>2822</v>
      </c>
      <c r="H179" s="353">
        <v>2439</v>
      </c>
      <c r="I179" s="354">
        <v>2473</v>
      </c>
      <c r="J179" s="354">
        <v>2485</v>
      </c>
      <c r="K179" s="355">
        <v>3141</v>
      </c>
    </row>
    <row r="180" spans="2:11" s="1279" customFormat="1" outlineLevel="1" x14ac:dyDescent="0.25">
      <c r="B180" s="88" t="str">
        <f>IF(ISBLANK('N1. Demand'!B25),"",'N1. Demand'!B25)</f>
        <v>Tariff V West Non-Domestic</v>
      </c>
      <c r="C180" s="354">
        <v>77</v>
      </c>
      <c r="D180" s="354">
        <v>89</v>
      </c>
      <c r="E180" s="354">
        <v>55</v>
      </c>
      <c r="F180" s="354">
        <v>47</v>
      </c>
      <c r="G180" s="371">
        <v>151</v>
      </c>
      <c r="H180" s="353">
        <v>76</v>
      </c>
      <c r="I180" s="354">
        <v>60</v>
      </c>
      <c r="J180" s="354">
        <v>37</v>
      </c>
      <c r="K180" s="355">
        <v>48</v>
      </c>
    </row>
    <row r="181" spans="2:11" s="1279" customFormat="1" outlineLevel="1" x14ac:dyDescent="0.25">
      <c r="B181" s="88" t="str">
        <f>IF(ISBLANK('N1. Demand'!B26),"",'N1. Demand'!B26)</f>
        <v>Tariff V Adjoining West Domestic</v>
      </c>
      <c r="C181" s="354">
        <v>844</v>
      </c>
      <c r="D181" s="354">
        <v>675</v>
      </c>
      <c r="E181" s="354">
        <v>595</v>
      </c>
      <c r="F181" s="354">
        <v>555</v>
      </c>
      <c r="G181" s="371">
        <v>487</v>
      </c>
      <c r="H181" s="353">
        <v>404</v>
      </c>
      <c r="I181" s="354">
        <v>453</v>
      </c>
      <c r="J181" s="354">
        <v>468</v>
      </c>
      <c r="K181" s="355">
        <v>440</v>
      </c>
    </row>
    <row r="182" spans="2:11" s="1279" customFormat="1" outlineLevel="1" x14ac:dyDescent="0.25">
      <c r="B182" s="88" t="str">
        <f>IF(ISBLANK('N1. Demand'!B27),"",'N1. Demand'!B27)</f>
        <v>Tariff V Adjoining West Non-Domestic</v>
      </c>
      <c r="C182" s="354">
        <v>25</v>
      </c>
      <c r="D182" s="354">
        <v>17</v>
      </c>
      <c r="E182" s="354">
        <v>14</v>
      </c>
      <c r="F182" s="354">
        <v>19</v>
      </c>
      <c r="G182" s="371">
        <v>22</v>
      </c>
      <c r="H182" s="353">
        <v>22</v>
      </c>
      <c r="I182" s="354">
        <v>1</v>
      </c>
      <c r="J182" s="354">
        <v>8</v>
      </c>
      <c r="K182" s="355">
        <v>15</v>
      </c>
    </row>
    <row r="183" spans="2:11" s="1279" customFormat="1" outlineLevel="1" x14ac:dyDescent="0.25">
      <c r="B183" s="88" t="str">
        <f>IF(ISBLANK('N1. Demand'!B28),"",'N1. Demand'!B28)</f>
        <v>Tariff D Central</v>
      </c>
      <c r="C183" s="354">
        <v>2</v>
      </c>
      <c r="D183" s="354">
        <v>3</v>
      </c>
      <c r="E183" s="354">
        <v>4</v>
      </c>
      <c r="F183" s="354">
        <v>6</v>
      </c>
      <c r="G183" s="371">
        <v>8</v>
      </c>
      <c r="H183" s="353">
        <v>6</v>
      </c>
      <c r="I183" s="354">
        <v>3</v>
      </c>
      <c r="J183" s="354">
        <v>0</v>
      </c>
      <c r="K183" s="355">
        <v>2</v>
      </c>
    </row>
    <row r="184" spans="2:11" s="1279" customFormat="1" outlineLevel="1" x14ac:dyDescent="0.25">
      <c r="B184" s="88" t="str">
        <f>IF(ISBLANK('N1. Demand'!B29),"",'N1. Demand'!B29)</f>
        <v>Tariff D Adjoining Central</v>
      </c>
      <c r="C184" s="354">
        <v>1</v>
      </c>
      <c r="D184" s="354">
        <v>0</v>
      </c>
      <c r="E184" s="354">
        <v>0</v>
      </c>
      <c r="F184" s="354">
        <v>0</v>
      </c>
      <c r="G184" s="371">
        <v>0</v>
      </c>
      <c r="H184" s="353">
        <v>0</v>
      </c>
      <c r="I184" s="354">
        <v>0</v>
      </c>
      <c r="J184" s="354">
        <v>0</v>
      </c>
      <c r="K184" s="355">
        <v>0</v>
      </c>
    </row>
    <row r="185" spans="2:11" s="1279" customFormat="1" outlineLevel="1" x14ac:dyDescent="0.25">
      <c r="B185" s="88" t="str">
        <f>IF(ISBLANK('N1. Demand'!B30),"",'N1. Demand'!B30)</f>
        <v>Tariff D West</v>
      </c>
      <c r="C185" s="354">
        <v>1</v>
      </c>
      <c r="D185" s="354">
        <v>3</v>
      </c>
      <c r="E185" s="354">
        <v>1</v>
      </c>
      <c r="F185" s="354">
        <v>2</v>
      </c>
      <c r="G185" s="371">
        <v>1</v>
      </c>
      <c r="H185" s="353">
        <v>2</v>
      </c>
      <c r="I185" s="354">
        <v>2</v>
      </c>
      <c r="J185" s="354">
        <v>0</v>
      </c>
      <c r="K185" s="355">
        <v>0</v>
      </c>
    </row>
    <row r="186" spans="2:11" s="1279" customFormat="1" outlineLevel="1" x14ac:dyDescent="0.25">
      <c r="B186" s="88" t="str">
        <f>IF(ISBLANK('N1. Demand'!B31),"",'N1. Demand'!B31)</f>
        <v>Tariff D Adjoining West</v>
      </c>
      <c r="C186" s="354">
        <v>0</v>
      </c>
      <c r="D186" s="354">
        <v>0</v>
      </c>
      <c r="E186" s="354">
        <v>0</v>
      </c>
      <c r="F186" s="354">
        <v>0</v>
      </c>
      <c r="G186" s="371">
        <v>0</v>
      </c>
      <c r="H186" s="353">
        <v>0</v>
      </c>
      <c r="I186" s="354">
        <v>0</v>
      </c>
      <c r="J186" s="354">
        <v>0</v>
      </c>
      <c r="K186" s="355">
        <v>0</v>
      </c>
    </row>
    <row r="187" spans="2:11" s="1279" customFormat="1" outlineLevel="1" x14ac:dyDescent="0.25">
      <c r="B187" s="88" t="str">
        <f>IF(ISBLANK('N1. Demand'!B32),"",'N1. Demand'!B32)</f>
        <v>Tariff M Central</v>
      </c>
      <c r="C187" s="354">
        <v>0</v>
      </c>
      <c r="D187" s="354">
        <v>2</v>
      </c>
      <c r="E187" s="354">
        <v>1</v>
      </c>
      <c r="F187" s="354">
        <v>0</v>
      </c>
      <c r="G187" s="371">
        <v>0</v>
      </c>
      <c r="H187" s="353">
        <v>0</v>
      </c>
      <c r="I187" s="354">
        <v>0</v>
      </c>
      <c r="J187" s="354">
        <v>0</v>
      </c>
      <c r="K187" s="355">
        <v>2</v>
      </c>
    </row>
    <row r="188" spans="2:11" s="1279" customFormat="1" outlineLevel="1" x14ac:dyDescent="0.25">
      <c r="B188" s="88" t="str">
        <f>IF(ISBLANK('N1. Demand'!B33),"",'N1. Demand'!B33)</f>
        <v>Tariff M Adjoining Central</v>
      </c>
      <c r="C188" s="354">
        <v>0</v>
      </c>
      <c r="D188" s="354">
        <v>0</v>
      </c>
      <c r="E188" s="354">
        <v>0</v>
      </c>
      <c r="F188" s="354">
        <v>0</v>
      </c>
      <c r="G188" s="371">
        <v>0</v>
      </c>
      <c r="H188" s="353">
        <v>0</v>
      </c>
      <c r="I188" s="354">
        <v>0</v>
      </c>
      <c r="J188" s="354">
        <v>0</v>
      </c>
      <c r="K188" s="355">
        <v>0</v>
      </c>
    </row>
    <row r="189" spans="2:11" s="1279" customFormat="1" outlineLevel="1" x14ac:dyDescent="0.25">
      <c r="B189" s="88" t="str">
        <f>IF(ISBLANK('N1. Demand'!B34),"",'N1. Demand'!B34)</f>
        <v>Tariff M West</v>
      </c>
      <c r="C189" s="354">
        <v>0</v>
      </c>
      <c r="D189" s="354">
        <v>0</v>
      </c>
      <c r="E189" s="354">
        <v>0</v>
      </c>
      <c r="F189" s="354">
        <v>0</v>
      </c>
      <c r="G189" s="371">
        <v>0</v>
      </c>
      <c r="H189" s="353">
        <v>0</v>
      </c>
      <c r="I189" s="354">
        <v>0</v>
      </c>
      <c r="J189" s="354">
        <v>0</v>
      </c>
      <c r="K189" s="355">
        <v>0</v>
      </c>
    </row>
    <row r="190" spans="2:11" s="1279" customFormat="1" outlineLevel="1" x14ac:dyDescent="0.25">
      <c r="B190" s="88" t="str">
        <f>IF(ISBLANK('N1. Demand'!B35),"",'N1. Demand'!B35)</f>
        <v>Tariff M Adjoining West</v>
      </c>
      <c r="C190" s="354">
        <v>0</v>
      </c>
      <c r="D190" s="354">
        <v>0</v>
      </c>
      <c r="E190" s="354">
        <v>0</v>
      </c>
      <c r="F190" s="354">
        <v>0</v>
      </c>
      <c r="G190" s="371">
        <v>0</v>
      </c>
      <c r="H190" s="353">
        <v>0</v>
      </c>
      <c r="I190" s="354">
        <v>0</v>
      </c>
      <c r="J190" s="354">
        <v>0</v>
      </c>
      <c r="K190" s="355">
        <v>0</v>
      </c>
    </row>
    <row r="191" spans="2:11" s="1279" customFormat="1" outlineLevel="1" x14ac:dyDescent="0.25">
      <c r="B191" s="88" t="str">
        <f>IF(ISBLANK('N1. Demand'!B36),"",'N1. Demand'!B36)</f>
        <v>T17</v>
      </c>
      <c r="C191" s="354"/>
      <c r="D191" s="354"/>
      <c r="E191" s="354"/>
      <c r="F191" s="354"/>
      <c r="G191" s="371"/>
      <c r="H191" s="353"/>
      <c r="I191" s="354"/>
      <c r="J191" s="354"/>
      <c r="K191" s="355"/>
    </row>
    <row r="192" spans="2:11" s="1279" customFormat="1" outlineLevel="1" x14ac:dyDescent="0.25">
      <c r="B192" s="88" t="str">
        <f>IF(ISBLANK('N1. Demand'!B37),"",'N1. Demand'!B37)</f>
        <v>T18</v>
      </c>
      <c r="C192" s="354"/>
      <c r="D192" s="354"/>
      <c r="E192" s="354"/>
      <c r="F192" s="354"/>
      <c r="G192" s="371"/>
      <c r="H192" s="353"/>
      <c r="I192" s="354"/>
      <c r="J192" s="354"/>
      <c r="K192" s="355"/>
    </row>
    <row r="193" spans="2:11" s="1279" customFormat="1" outlineLevel="1" x14ac:dyDescent="0.25">
      <c r="B193" s="88" t="str">
        <f>IF(ISBLANK('N1. Demand'!B38),"",'N1. Demand'!B38)</f>
        <v>T19</v>
      </c>
      <c r="C193" s="354"/>
      <c r="D193" s="354"/>
      <c r="E193" s="354"/>
      <c r="F193" s="354"/>
      <c r="G193" s="371"/>
      <c r="H193" s="353"/>
      <c r="I193" s="354"/>
      <c r="J193" s="354"/>
      <c r="K193" s="355"/>
    </row>
    <row r="194" spans="2:11" s="1279" customFormat="1" outlineLevel="1" x14ac:dyDescent="0.25">
      <c r="B194" s="88" t="str">
        <f>IF(ISBLANK('N1. Demand'!B39),"",'N1. Demand'!B39)</f>
        <v>T20</v>
      </c>
      <c r="C194" s="354"/>
      <c r="D194" s="354"/>
      <c r="E194" s="354"/>
      <c r="F194" s="354"/>
      <c r="G194" s="371"/>
      <c r="H194" s="353"/>
      <c r="I194" s="354"/>
      <c r="J194" s="354"/>
      <c r="K194" s="355"/>
    </row>
    <row r="195" spans="2:11" s="1279" customFormat="1" outlineLevel="1" x14ac:dyDescent="0.25">
      <c r="B195" s="88" t="str">
        <f>IF(ISBLANK('N1. Demand'!B40),"",'N1. Demand'!B40)</f>
        <v>T21</v>
      </c>
      <c r="C195" s="354"/>
      <c r="D195" s="354"/>
      <c r="E195" s="354"/>
      <c r="F195" s="354"/>
      <c r="G195" s="371"/>
      <c r="H195" s="353"/>
      <c r="I195" s="354"/>
      <c r="J195" s="354"/>
      <c r="K195" s="355"/>
    </row>
    <row r="196" spans="2:11" s="1279" customFormat="1" outlineLevel="1" x14ac:dyDescent="0.25">
      <c r="B196" s="88" t="str">
        <f>IF(ISBLANK('N1. Demand'!B41),"",'N1. Demand'!B41)</f>
        <v>T22</v>
      </c>
      <c r="C196" s="354"/>
      <c r="D196" s="354"/>
      <c r="E196" s="354"/>
      <c r="F196" s="354"/>
      <c r="G196" s="371"/>
      <c r="H196" s="353"/>
      <c r="I196" s="354"/>
      <c r="J196" s="354"/>
      <c r="K196" s="355"/>
    </row>
    <row r="197" spans="2:11" s="1279" customFormat="1" outlineLevel="1" x14ac:dyDescent="0.25">
      <c r="B197" s="88" t="str">
        <f>IF(ISBLANK('N1. Demand'!B42),"",'N1. Demand'!B42)</f>
        <v>T23</v>
      </c>
      <c r="C197" s="354"/>
      <c r="D197" s="354"/>
      <c r="E197" s="354"/>
      <c r="F197" s="354"/>
      <c r="G197" s="371"/>
      <c r="H197" s="353"/>
      <c r="I197" s="354"/>
      <c r="J197" s="354"/>
      <c r="K197" s="355"/>
    </row>
    <row r="198" spans="2:11" s="1279" customFormat="1" outlineLevel="1" x14ac:dyDescent="0.25">
      <c r="B198" s="88" t="str">
        <f>IF(ISBLANK('N1. Demand'!B43),"",'N1. Demand'!B43)</f>
        <v>T24</v>
      </c>
      <c r="C198" s="354"/>
      <c r="D198" s="354"/>
      <c r="E198" s="354"/>
      <c r="F198" s="354"/>
      <c r="G198" s="371"/>
      <c r="H198" s="353"/>
      <c r="I198" s="354"/>
      <c r="J198" s="354"/>
      <c r="K198" s="355"/>
    </row>
    <row r="199" spans="2:11" s="1279" customFormat="1" outlineLevel="1" x14ac:dyDescent="0.25">
      <c r="B199" s="88" t="str">
        <f>IF(ISBLANK('N1. Demand'!B44),"",'N1. Demand'!B44)</f>
        <v>T25</v>
      </c>
      <c r="C199" s="354"/>
      <c r="D199" s="354"/>
      <c r="E199" s="354"/>
      <c r="F199" s="354"/>
      <c r="G199" s="371"/>
      <c r="H199" s="353"/>
      <c r="I199" s="354"/>
      <c r="J199" s="354"/>
      <c r="K199" s="355"/>
    </row>
    <row r="200" spans="2:11" s="1279" customFormat="1" outlineLevel="1" x14ac:dyDescent="0.25">
      <c r="B200" s="88" t="str">
        <f>IF(ISBLANK('N1. Demand'!B45),"",'N1. Demand'!B45)</f>
        <v>T26</v>
      </c>
      <c r="C200" s="354"/>
      <c r="D200" s="354"/>
      <c r="E200" s="354"/>
      <c r="F200" s="354"/>
      <c r="G200" s="371"/>
      <c r="H200" s="353"/>
      <c r="I200" s="354"/>
      <c r="J200" s="354"/>
      <c r="K200" s="355"/>
    </row>
    <row r="201" spans="2:11" s="1279" customFormat="1" outlineLevel="1" x14ac:dyDescent="0.25">
      <c r="B201" s="88" t="str">
        <f>IF(ISBLANK('N1. Demand'!B46),"",'N1. Demand'!B46)</f>
        <v>T27</v>
      </c>
      <c r="C201" s="354"/>
      <c r="D201" s="354"/>
      <c r="E201" s="354"/>
      <c r="F201" s="354"/>
      <c r="G201" s="371"/>
      <c r="H201" s="353"/>
      <c r="I201" s="354"/>
      <c r="J201" s="354"/>
      <c r="K201" s="355"/>
    </row>
    <row r="202" spans="2:11" s="1279" customFormat="1" outlineLevel="1" x14ac:dyDescent="0.25">
      <c r="B202" s="88" t="str">
        <f>IF(ISBLANK('N1. Demand'!B47),"",'N1. Demand'!B47)</f>
        <v>T28</v>
      </c>
      <c r="C202" s="354"/>
      <c r="D202" s="354"/>
      <c r="E202" s="354"/>
      <c r="F202" s="354"/>
      <c r="G202" s="371"/>
      <c r="H202" s="353"/>
      <c r="I202" s="354"/>
      <c r="J202" s="354"/>
      <c r="K202" s="355"/>
    </row>
    <row r="203" spans="2:11" s="1279" customFormat="1" outlineLevel="1" x14ac:dyDescent="0.25">
      <c r="B203" s="88" t="str">
        <f>IF(ISBLANK('N1. Demand'!B48),"",'N1. Demand'!B48)</f>
        <v>T29</v>
      </c>
      <c r="C203" s="354"/>
      <c r="D203" s="354"/>
      <c r="E203" s="354"/>
      <c r="F203" s="354"/>
      <c r="G203" s="371"/>
      <c r="H203" s="353"/>
      <c r="I203" s="354"/>
      <c r="J203" s="354"/>
      <c r="K203" s="355"/>
    </row>
    <row r="204" spans="2:11" s="1279" customFormat="1" outlineLevel="1" x14ac:dyDescent="0.25">
      <c r="B204" s="88" t="str">
        <f>IF(ISBLANK('N1. Demand'!B49),"",'N1. Demand'!B49)</f>
        <v>T30</v>
      </c>
      <c r="C204" s="354"/>
      <c r="D204" s="354"/>
      <c r="E204" s="354"/>
      <c r="F204" s="354"/>
      <c r="G204" s="371"/>
      <c r="H204" s="353"/>
      <c r="I204" s="354"/>
      <c r="J204" s="354"/>
      <c r="K204" s="355"/>
    </row>
    <row r="205" spans="2:11" outlineLevel="1" x14ac:dyDescent="0.25">
      <c r="B205" s="88" t="str">
        <f>IF(ISBLANK('N1. Demand'!B50),"",'N1. Demand'!B50)</f>
        <v>T31</v>
      </c>
      <c r="C205" s="354"/>
      <c r="D205" s="354"/>
      <c r="E205" s="354"/>
      <c r="F205" s="354"/>
      <c r="G205" s="371"/>
      <c r="H205" s="353"/>
      <c r="I205" s="354"/>
      <c r="J205" s="354"/>
      <c r="K205" s="355"/>
    </row>
    <row r="206" spans="2:11" outlineLevel="1" x14ac:dyDescent="0.25">
      <c r="B206" s="88" t="str">
        <f>IF(ISBLANK('N1. Demand'!B51),"",'N1. Demand'!B51)</f>
        <v>T32</v>
      </c>
      <c r="C206" s="354"/>
      <c r="D206" s="354"/>
      <c r="E206" s="354"/>
      <c r="F206" s="354"/>
      <c r="G206" s="371"/>
      <c r="H206" s="353"/>
      <c r="I206" s="354"/>
      <c r="J206" s="354"/>
      <c r="K206" s="355"/>
    </row>
    <row r="207" spans="2:11" outlineLevel="1" x14ac:dyDescent="0.25">
      <c r="B207" s="88" t="str">
        <f>IF(ISBLANK('N1. Demand'!B52),"",'N1. Demand'!B52)</f>
        <v>T33</v>
      </c>
      <c r="C207" s="354"/>
      <c r="D207" s="354"/>
      <c r="E207" s="354"/>
      <c r="F207" s="354"/>
      <c r="G207" s="371"/>
      <c r="H207" s="353"/>
      <c r="I207" s="354"/>
      <c r="J207" s="354"/>
      <c r="K207" s="355"/>
    </row>
    <row r="208" spans="2:11" outlineLevel="1" x14ac:dyDescent="0.25">
      <c r="B208" s="88" t="str">
        <f>IF(ISBLANK('N1. Demand'!B53),"",'N1. Demand'!B53)</f>
        <v>T34</v>
      </c>
      <c r="C208" s="354"/>
      <c r="D208" s="354"/>
      <c r="E208" s="354"/>
      <c r="F208" s="354"/>
      <c r="G208" s="371"/>
      <c r="H208" s="353"/>
      <c r="I208" s="354"/>
      <c r="J208" s="354"/>
      <c r="K208" s="355"/>
    </row>
    <row r="209" spans="2:11" outlineLevel="1" x14ac:dyDescent="0.25">
      <c r="B209" s="88" t="str">
        <f>IF(ISBLANK('N1. Demand'!B54),"",'N1. Demand'!B54)</f>
        <v>T35</v>
      </c>
      <c r="C209" s="354"/>
      <c r="D209" s="354"/>
      <c r="E209" s="354"/>
      <c r="F209" s="354"/>
      <c r="G209" s="371"/>
      <c r="H209" s="353"/>
      <c r="I209" s="354"/>
      <c r="J209" s="354"/>
      <c r="K209" s="355"/>
    </row>
    <row r="210" spans="2:11" outlineLevel="1" x14ac:dyDescent="0.25">
      <c r="B210" s="88" t="str">
        <f>IF(ISBLANK('N1. Demand'!B55),"",'N1. Demand'!B55)</f>
        <v>T36</v>
      </c>
      <c r="C210" s="354"/>
      <c r="D210" s="354"/>
      <c r="E210" s="354"/>
      <c r="F210" s="354"/>
      <c r="G210" s="371"/>
      <c r="H210" s="353"/>
      <c r="I210" s="354"/>
      <c r="J210" s="354"/>
      <c r="K210" s="355"/>
    </row>
    <row r="211" spans="2:11" outlineLevel="1" x14ac:dyDescent="0.25">
      <c r="B211" s="88" t="str">
        <f>IF(ISBLANK('N1. Demand'!B56),"",'N1. Demand'!B56)</f>
        <v>T37</v>
      </c>
      <c r="C211" s="354"/>
      <c r="D211" s="354"/>
      <c r="E211" s="354"/>
      <c r="F211" s="354"/>
      <c r="G211" s="371"/>
      <c r="H211" s="353"/>
      <c r="I211" s="354"/>
      <c r="J211" s="354"/>
      <c r="K211" s="355"/>
    </row>
    <row r="212" spans="2:11" outlineLevel="1" x14ac:dyDescent="0.25">
      <c r="B212" s="88" t="str">
        <f>IF(ISBLANK('N1. Demand'!B57),"",'N1. Demand'!B57)</f>
        <v>T38</v>
      </c>
      <c r="C212" s="354"/>
      <c r="D212" s="354"/>
      <c r="E212" s="354"/>
      <c r="F212" s="354"/>
      <c r="G212" s="371"/>
      <c r="H212" s="353"/>
      <c r="I212" s="354"/>
      <c r="J212" s="354"/>
      <c r="K212" s="355"/>
    </row>
    <row r="213" spans="2:11" outlineLevel="1" x14ac:dyDescent="0.25">
      <c r="B213" s="88" t="str">
        <f>IF(ISBLANK('N1. Demand'!B58),"",'N1. Demand'!B58)</f>
        <v>T39</v>
      </c>
      <c r="C213" s="354"/>
      <c r="D213" s="354"/>
      <c r="E213" s="354"/>
      <c r="F213" s="354"/>
      <c r="G213" s="371"/>
      <c r="H213" s="353"/>
      <c r="I213" s="354"/>
      <c r="J213" s="354"/>
      <c r="K213" s="355"/>
    </row>
    <row r="214" spans="2:11" outlineLevel="1" x14ac:dyDescent="0.25">
      <c r="B214" s="88" t="str">
        <f>IF(ISBLANK('N1. Demand'!B59),"",'N1. Demand'!B59)</f>
        <v>T40</v>
      </c>
      <c r="C214" s="354"/>
      <c r="D214" s="354"/>
      <c r="E214" s="354"/>
      <c r="F214" s="354"/>
      <c r="G214" s="371"/>
      <c r="H214" s="353"/>
      <c r="I214" s="354"/>
      <c r="J214" s="354"/>
      <c r="K214" s="355"/>
    </row>
    <row r="215" spans="2:11" outlineLevel="1" x14ac:dyDescent="0.25">
      <c r="B215" s="88" t="str">
        <f>IF(ISBLANK('N1. Demand'!B60),"",'N1. Demand'!B60)</f>
        <v>T41</v>
      </c>
      <c r="C215" s="354"/>
      <c r="D215" s="354"/>
      <c r="E215" s="354"/>
      <c r="F215" s="354"/>
      <c r="G215" s="371"/>
      <c r="H215" s="353"/>
      <c r="I215" s="354"/>
      <c r="J215" s="354"/>
      <c r="K215" s="355"/>
    </row>
    <row r="216" spans="2:11" outlineLevel="1" x14ac:dyDescent="0.25">
      <c r="B216" s="88" t="str">
        <f>IF(ISBLANK('N1. Demand'!B61),"",'N1. Demand'!B61)</f>
        <v>T42</v>
      </c>
      <c r="C216" s="354"/>
      <c r="D216" s="354"/>
      <c r="E216" s="354"/>
      <c r="F216" s="354"/>
      <c r="G216" s="371"/>
      <c r="H216" s="353"/>
      <c r="I216" s="354"/>
      <c r="J216" s="354"/>
      <c r="K216" s="355"/>
    </row>
    <row r="217" spans="2:11" outlineLevel="1" x14ac:dyDescent="0.25">
      <c r="B217" s="88" t="str">
        <f>IF(ISBLANK('N1. Demand'!B62),"",'N1. Demand'!B62)</f>
        <v>T43</v>
      </c>
      <c r="C217" s="354"/>
      <c r="D217" s="354"/>
      <c r="E217" s="354"/>
      <c r="F217" s="354"/>
      <c r="G217" s="371"/>
      <c r="H217" s="353"/>
      <c r="I217" s="354"/>
      <c r="J217" s="354"/>
      <c r="K217" s="355"/>
    </row>
    <row r="218" spans="2:11" outlineLevel="1" x14ac:dyDescent="0.25">
      <c r="B218" s="88" t="str">
        <f>IF(ISBLANK('N1. Demand'!B63),"",'N1. Demand'!B63)</f>
        <v>T44</v>
      </c>
      <c r="C218" s="354"/>
      <c r="D218" s="354"/>
      <c r="E218" s="354"/>
      <c r="F218" s="354"/>
      <c r="G218" s="371"/>
      <c r="H218" s="353"/>
      <c r="I218" s="354"/>
      <c r="J218" s="354"/>
      <c r="K218" s="355"/>
    </row>
    <row r="219" spans="2:11" outlineLevel="1" x14ac:dyDescent="0.25">
      <c r="B219" s="88" t="str">
        <f>IF(ISBLANK('N1. Demand'!B64),"",'N1. Demand'!B64)</f>
        <v>T45</v>
      </c>
      <c r="C219" s="354"/>
      <c r="D219" s="354"/>
      <c r="E219" s="354"/>
      <c r="F219" s="354"/>
      <c r="G219" s="371"/>
      <c r="H219" s="353"/>
      <c r="I219" s="354"/>
      <c r="J219" s="354"/>
      <c r="K219" s="355"/>
    </row>
    <row r="220" spans="2:11" outlineLevel="1" x14ac:dyDescent="0.25">
      <c r="B220" s="88" t="str">
        <f>IF(ISBLANK('N1. Demand'!B65),"",'N1. Demand'!B65)</f>
        <v>T46</v>
      </c>
      <c r="C220" s="354"/>
      <c r="D220" s="354"/>
      <c r="E220" s="354"/>
      <c r="F220" s="354"/>
      <c r="G220" s="371"/>
      <c r="H220" s="353"/>
      <c r="I220" s="354"/>
      <c r="J220" s="354"/>
      <c r="K220" s="355"/>
    </row>
    <row r="221" spans="2:11" outlineLevel="1" x14ac:dyDescent="0.25">
      <c r="B221" s="88" t="str">
        <f>IF(ISBLANK('N1. Demand'!B66),"",'N1. Demand'!B66)</f>
        <v>T47</v>
      </c>
      <c r="C221" s="354"/>
      <c r="D221" s="354"/>
      <c r="E221" s="354"/>
      <c r="F221" s="354"/>
      <c r="G221" s="371"/>
      <c r="H221" s="353"/>
      <c r="I221" s="354"/>
      <c r="J221" s="354"/>
      <c r="K221" s="355"/>
    </row>
    <row r="222" spans="2:11" outlineLevel="1" x14ac:dyDescent="0.25">
      <c r="B222" s="88" t="str">
        <f>IF(ISBLANK('N1. Demand'!B67),"",'N1. Demand'!B67)</f>
        <v>T48</v>
      </c>
      <c r="C222" s="354"/>
      <c r="D222" s="354"/>
      <c r="E222" s="354"/>
      <c r="F222" s="354"/>
      <c r="G222" s="371"/>
      <c r="H222" s="353"/>
      <c r="I222" s="354"/>
      <c r="J222" s="354"/>
      <c r="K222" s="355"/>
    </row>
    <row r="223" spans="2:11" outlineLevel="1" x14ac:dyDescent="0.25">
      <c r="B223" s="88" t="str">
        <f>IF(ISBLANK('N1. Demand'!B68),"",'N1. Demand'!B68)</f>
        <v>T49</v>
      </c>
      <c r="C223" s="354"/>
      <c r="D223" s="354"/>
      <c r="E223" s="354"/>
      <c r="F223" s="354"/>
      <c r="G223" s="371"/>
      <c r="H223" s="353"/>
      <c r="I223" s="354"/>
      <c r="J223" s="354"/>
      <c r="K223" s="355"/>
    </row>
    <row r="224" spans="2:11" s="1356" customFormat="1" outlineLevel="1" x14ac:dyDescent="0.25">
      <c r="B224" s="88" t="str">
        <f>IF(ISBLANK('N1. Demand'!B69),"",'N1. Demand'!B69)</f>
        <v>T50</v>
      </c>
      <c r="C224" s="354"/>
      <c r="D224" s="354"/>
      <c r="E224" s="354"/>
      <c r="F224" s="354"/>
      <c r="G224" s="442"/>
      <c r="H224" s="353"/>
      <c r="I224" s="354"/>
      <c r="J224" s="354"/>
      <c r="K224" s="355"/>
    </row>
    <row r="225" spans="2:11" s="1356" customFormat="1" outlineLevel="1" x14ac:dyDescent="0.25">
      <c r="B225" s="88" t="str">
        <f>IF(ISBLANK('N1. Demand'!B70),"",'N1. Demand'!B70)</f>
        <v>T51</v>
      </c>
      <c r="C225" s="354"/>
      <c r="D225" s="354"/>
      <c r="E225" s="354"/>
      <c r="F225" s="354"/>
      <c r="G225" s="442"/>
      <c r="H225" s="353"/>
      <c r="I225" s="354"/>
      <c r="J225" s="354"/>
      <c r="K225" s="355"/>
    </row>
    <row r="226" spans="2:11" s="1356" customFormat="1" outlineLevel="1" x14ac:dyDescent="0.25">
      <c r="B226" s="88" t="str">
        <f>IF(ISBLANK('N1. Demand'!B71),"",'N1. Demand'!B71)</f>
        <v>T52</v>
      </c>
      <c r="C226" s="354"/>
      <c r="D226" s="354"/>
      <c r="E226" s="354"/>
      <c r="F226" s="354"/>
      <c r="G226" s="442"/>
      <c r="H226" s="353"/>
      <c r="I226" s="354"/>
      <c r="J226" s="354"/>
      <c r="K226" s="355"/>
    </row>
    <row r="227" spans="2:11" s="1356" customFormat="1" outlineLevel="1" x14ac:dyDescent="0.25">
      <c r="B227" s="88" t="str">
        <f>IF(ISBLANK('N1. Demand'!B72),"",'N1. Demand'!B72)</f>
        <v>T53</v>
      </c>
      <c r="C227" s="354"/>
      <c r="D227" s="354"/>
      <c r="E227" s="354"/>
      <c r="F227" s="354"/>
      <c r="G227" s="442"/>
      <c r="H227" s="353"/>
      <c r="I227" s="354"/>
      <c r="J227" s="354"/>
      <c r="K227" s="355"/>
    </row>
    <row r="228" spans="2:11" s="1356" customFormat="1" outlineLevel="1" x14ac:dyDescent="0.25">
      <c r="B228" s="88" t="str">
        <f>IF(ISBLANK('N1. Demand'!B73),"",'N1. Demand'!B73)</f>
        <v>T54</v>
      </c>
      <c r="C228" s="354"/>
      <c r="D228" s="354"/>
      <c r="E228" s="354"/>
      <c r="F228" s="354"/>
      <c r="G228" s="442"/>
      <c r="H228" s="353"/>
      <c r="I228" s="354"/>
      <c r="J228" s="354"/>
      <c r="K228" s="355"/>
    </row>
    <row r="229" spans="2:11" s="1356" customFormat="1" outlineLevel="1" x14ac:dyDescent="0.25">
      <c r="B229" s="88" t="str">
        <f>IF(ISBLANK('N1. Demand'!B74),"",'N1. Demand'!B74)</f>
        <v>T55</v>
      </c>
      <c r="C229" s="354"/>
      <c r="D229" s="354"/>
      <c r="E229" s="354"/>
      <c r="F229" s="354"/>
      <c r="G229" s="442"/>
      <c r="H229" s="353"/>
      <c r="I229" s="354"/>
      <c r="J229" s="354"/>
      <c r="K229" s="355"/>
    </row>
    <row r="230" spans="2:11" s="1356" customFormat="1" outlineLevel="1" x14ac:dyDescent="0.25">
      <c r="B230" s="88" t="str">
        <f>IF(ISBLANK('N1. Demand'!B75),"",'N1. Demand'!B75)</f>
        <v>T56</v>
      </c>
      <c r="C230" s="354"/>
      <c r="D230" s="354"/>
      <c r="E230" s="354"/>
      <c r="F230" s="354"/>
      <c r="G230" s="442"/>
      <c r="H230" s="353"/>
      <c r="I230" s="354"/>
      <c r="J230" s="354"/>
      <c r="K230" s="355"/>
    </row>
    <row r="231" spans="2:11" s="1356" customFormat="1" outlineLevel="1" x14ac:dyDescent="0.25">
      <c r="B231" s="88" t="str">
        <f>IF(ISBLANK('N1. Demand'!B76),"",'N1. Demand'!B76)</f>
        <v>T57</v>
      </c>
      <c r="C231" s="354"/>
      <c r="D231" s="354"/>
      <c r="E231" s="354"/>
      <c r="F231" s="354"/>
      <c r="G231" s="442"/>
      <c r="H231" s="353"/>
      <c r="I231" s="354"/>
      <c r="J231" s="354"/>
      <c r="K231" s="355"/>
    </row>
    <row r="232" spans="2:11" s="1356" customFormat="1" outlineLevel="1" x14ac:dyDescent="0.25">
      <c r="B232" s="88" t="str">
        <f>IF(ISBLANK('N1. Demand'!B77),"",'N1. Demand'!B77)</f>
        <v>T58</v>
      </c>
      <c r="C232" s="354"/>
      <c r="D232" s="354"/>
      <c r="E232" s="354"/>
      <c r="F232" s="354"/>
      <c r="G232" s="442"/>
      <c r="H232" s="353"/>
      <c r="I232" s="354"/>
      <c r="J232" s="354"/>
      <c r="K232" s="355"/>
    </row>
    <row r="233" spans="2:11" s="1356" customFormat="1" outlineLevel="1" x14ac:dyDescent="0.25">
      <c r="B233" s="88" t="str">
        <f>IF(ISBLANK('N1. Demand'!B78),"",'N1. Demand'!B78)</f>
        <v>T59</v>
      </c>
      <c r="C233" s="354"/>
      <c r="D233" s="354"/>
      <c r="E233" s="354"/>
      <c r="F233" s="354"/>
      <c r="G233" s="442"/>
      <c r="H233" s="353"/>
      <c r="I233" s="354"/>
      <c r="J233" s="354"/>
      <c r="K233" s="355"/>
    </row>
    <row r="234" spans="2:11" s="1356" customFormat="1" outlineLevel="1" x14ac:dyDescent="0.25">
      <c r="B234" s="88" t="str">
        <f>IF(ISBLANK('N1. Demand'!B79),"",'N1. Demand'!B79)</f>
        <v>T60</v>
      </c>
      <c r="C234" s="354"/>
      <c r="D234" s="354"/>
      <c r="E234" s="354"/>
      <c r="F234" s="354"/>
      <c r="G234" s="442"/>
      <c r="H234" s="353"/>
      <c r="I234" s="354"/>
      <c r="J234" s="354"/>
      <c r="K234" s="355"/>
    </row>
    <row r="235" spans="2:11" s="1356" customFormat="1" outlineLevel="1" x14ac:dyDescent="0.25">
      <c r="B235" s="88" t="str">
        <f>IF(ISBLANK('N1. Demand'!B80),"",'N1. Demand'!B80)</f>
        <v>T61</v>
      </c>
      <c r="C235" s="354"/>
      <c r="D235" s="354"/>
      <c r="E235" s="354"/>
      <c r="F235" s="354"/>
      <c r="G235" s="442"/>
      <c r="H235" s="353"/>
      <c r="I235" s="354"/>
      <c r="J235" s="354"/>
      <c r="K235" s="355"/>
    </row>
    <row r="236" spans="2:11" s="1356" customFormat="1" outlineLevel="1" x14ac:dyDescent="0.25">
      <c r="B236" s="88" t="str">
        <f>IF(ISBLANK('N1. Demand'!B81),"",'N1. Demand'!B81)</f>
        <v>T62</v>
      </c>
      <c r="C236" s="354"/>
      <c r="D236" s="354"/>
      <c r="E236" s="354"/>
      <c r="F236" s="354"/>
      <c r="G236" s="442"/>
      <c r="H236" s="353"/>
      <c r="I236" s="354"/>
      <c r="J236" s="354"/>
      <c r="K236" s="355"/>
    </row>
    <row r="237" spans="2:11" s="1356" customFormat="1" outlineLevel="1" x14ac:dyDescent="0.25">
      <c r="B237" s="88" t="str">
        <f>IF(ISBLANK('N1. Demand'!B82),"",'N1. Demand'!B82)</f>
        <v>T63</v>
      </c>
      <c r="C237" s="354"/>
      <c r="D237" s="354"/>
      <c r="E237" s="354"/>
      <c r="F237" s="354"/>
      <c r="G237" s="442"/>
      <c r="H237" s="353"/>
      <c r="I237" s="354"/>
      <c r="J237" s="354"/>
      <c r="K237" s="355"/>
    </row>
    <row r="238" spans="2:11" s="1356" customFormat="1" outlineLevel="1" x14ac:dyDescent="0.25">
      <c r="B238" s="88" t="str">
        <f>IF(ISBLANK('N1. Demand'!B83),"",'N1. Demand'!B83)</f>
        <v>T64</v>
      </c>
      <c r="C238" s="354"/>
      <c r="D238" s="354"/>
      <c r="E238" s="354"/>
      <c r="F238" s="354"/>
      <c r="G238" s="442"/>
      <c r="H238" s="353"/>
      <c r="I238" s="354"/>
      <c r="J238" s="354"/>
      <c r="K238" s="355"/>
    </row>
    <row r="239" spans="2:11" s="1356" customFormat="1" outlineLevel="1" x14ac:dyDescent="0.25">
      <c r="B239" s="88" t="str">
        <f>IF(ISBLANK('N1. Demand'!B84),"",'N1. Demand'!B84)</f>
        <v>T65</v>
      </c>
      <c r="C239" s="354"/>
      <c r="D239" s="354"/>
      <c r="E239" s="354"/>
      <c r="F239" s="354"/>
      <c r="G239" s="442"/>
      <c r="H239" s="353"/>
      <c r="I239" s="354"/>
      <c r="J239" s="354"/>
      <c r="K239" s="355"/>
    </row>
    <row r="240" spans="2:11" s="1356" customFormat="1" outlineLevel="1" x14ac:dyDescent="0.25">
      <c r="B240" s="88" t="str">
        <f>IF(ISBLANK('N1. Demand'!B85),"",'N1. Demand'!B85)</f>
        <v>T66</v>
      </c>
      <c r="C240" s="354"/>
      <c r="D240" s="354"/>
      <c r="E240" s="354"/>
      <c r="F240" s="354"/>
      <c r="G240" s="442"/>
      <c r="H240" s="353"/>
      <c r="I240" s="354"/>
      <c r="J240" s="354"/>
      <c r="K240" s="355"/>
    </row>
    <row r="241" spans="1:12" s="1356" customFormat="1" outlineLevel="1" x14ac:dyDescent="0.25">
      <c r="B241" s="88" t="str">
        <f>IF(ISBLANK('N1. Demand'!B86),"",'N1. Demand'!B86)</f>
        <v>T67</v>
      </c>
      <c r="C241" s="354"/>
      <c r="D241" s="354"/>
      <c r="E241" s="354"/>
      <c r="F241" s="354"/>
      <c r="G241" s="442"/>
      <c r="H241" s="353"/>
      <c r="I241" s="354"/>
      <c r="J241" s="354"/>
      <c r="K241" s="355"/>
    </row>
    <row r="242" spans="1:12" s="1356" customFormat="1" outlineLevel="1" x14ac:dyDescent="0.25">
      <c r="B242" s="88" t="str">
        <f>IF(ISBLANK('N1. Demand'!B87),"",'N1. Demand'!B87)</f>
        <v>T68</v>
      </c>
      <c r="C242" s="354"/>
      <c r="D242" s="354"/>
      <c r="E242" s="354"/>
      <c r="F242" s="354"/>
      <c r="G242" s="442"/>
      <c r="H242" s="353"/>
      <c r="I242" s="354"/>
      <c r="J242" s="354"/>
      <c r="K242" s="355"/>
    </row>
    <row r="243" spans="1:12" s="1356" customFormat="1" outlineLevel="1" x14ac:dyDescent="0.25">
      <c r="B243" s="88" t="str">
        <f>IF(ISBLANK('N1. Demand'!B88),"",'N1. Demand'!B88)</f>
        <v>T69</v>
      </c>
      <c r="C243" s="354"/>
      <c r="D243" s="354"/>
      <c r="E243" s="354"/>
      <c r="F243" s="354"/>
      <c r="G243" s="442"/>
      <c r="H243" s="353"/>
      <c r="I243" s="354"/>
      <c r="J243" s="354"/>
      <c r="K243" s="355"/>
    </row>
    <row r="244" spans="1:12" s="1356" customFormat="1" outlineLevel="1" x14ac:dyDescent="0.25">
      <c r="B244" s="88" t="str">
        <f>IF(ISBLANK('N1. Demand'!B89),"",'N1. Demand'!B89)</f>
        <v>T70</v>
      </c>
      <c r="C244" s="354"/>
      <c r="D244" s="354"/>
      <c r="E244" s="354"/>
      <c r="F244" s="354"/>
      <c r="G244" s="442"/>
      <c r="H244" s="353"/>
      <c r="I244" s="354"/>
      <c r="J244" s="354"/>
      <c r="K244" s="355"/>
    </row>
    <row r="245" spans="1:12" s="1356" customFormat="1" outlineLevel="1" x14ac:dyDescent="0.25">
      <c r="B245" s="88" t="str">
        <f>IF(ISBLANK('N1. Demand'!B90),"",'N1. Demand'!B90)</f>
        <v>T71</v>
      </c>
      <c r="C245" s="354"/>
      <c r="D245" s="354"/>
      <c r="E245" s="354"/>
      <c r="F245" s="354"/>
      <c r="G245" s="442"/>
      <c r="H245" s="353"/>
      <c r="I245" s="354"/>
      <c r="J245" s="354"/>
      <c r="K245" s="355"/>
    </row>
    <row r="246" spans="1:12" s="1356" customFormat="1" outlineLevel="1" x14ac:dyDescent="0.25">
      <c r="B246" s="88" t="str">
        <f>IF(ISBLANK('N1. Demand'!B91),"",'N1. Demand'!B91)</f>
        <v>T72</v>
      </c>
      <c r="C246" s="354"/>
      <c r="D246" s="354"/>
      <c r="E246" s="354"/>
      <c r="F246" s="354"/>
      <c r="G246" s="442"/>
      <c r="H246" s="353"/>
      <c r="I246" s="354"/>
      <c r="J246" s="354"/>
      <c r="K246" s="355"/>
    </row>
    <row r="247" spans="1:12" s="1356" customFormat="1" outlineLevel="1" x14ac:dyDescent="0.25">
      <c r="B247" s="88" t="str">
        <f>IF(ISBLANK('N1. Demand'!B92),"",'N1. Demand'!B92)</f>
        <v>T73</v>
      </c>
      <c r="C247" s="354"/>
      <c r="D247" s="354"/>
      <c r="E247" s="354"/>
      <c r="F247" s="354"/>
      <c r="G247" s="442"/>
      <c r="H247" s="353"/>
      <c r="I247" s="354"/>
      <c r="J247" s="354"/>
      <c r="K247" s="355"/>
    </row>
    <row r="248" spans="1:12" s="1356" customFormat="1" outlineLevel="1" x14ac:dyDescent="0.25">
      <c r="B248" s="88" t="str">
        <f>IF(ISBLANK('N1. Demand'!B93),"",'N1. Demand'!B93)</f>
        <v>T74</v>
      </c>
      <c r="C248" s="354"/>
      <c r="D248" s="354"/>
      <c r="E248" s="354"/>
      <c r="F248" s="354"/>
      <c r="G248" s="442"/>
      <c r="H248" s="353"/>
      <c r="I248" s="354"/>
      <c r="J248" s="354"/>
      <c r="K248" s="355"/>
    </row>
    <row r="249" spans="1:12" outlineLevel="1" x14ac:dyDescent="0.25">
      <c r="B249" s="88" t="str">
        <f>IF(ISBLANK('N1. Demand'!B94),"",'N1. Demand'!B94)</f>
        <v>T75</v>
      </c>
      <c r="C249" s="354"/>
      <c r="D249" s="354"/>
      <c r="E249" s="354"/>
      <c r="F249" s="354"/>
      <c r="G249" s="395"/>
      <c r="H249" s="353"/>
      <c r="I249" s="354"/>
      <c r="J249" s="354"/>
      <c r="K249" s="355"/>
    </row>
    <row r="250" spans="1:12" ht="15.75" outlineLevel="1" thickBot="1" x14ac:dyDescent="0.3">
      <c r="B250" s="340" t="s">
        <v>640</v>
      </c>
      <c r="C250" s="340">
        <f t="shared" ref="C250:K250" si="81">SUM(C175:C249)</f>
        <v>19039</v>
      </c>
      <c r="D250" s="340">
        <f t="shared" si="81"/>
        <v>16389</v>
      </c>
      <c r="E250" s="340">
        <f t="shared" si="81"/>
        <v>15008</v>
      </c>
      <c r="F250" s="340">
        <f t="shared" si="81"/>
        <v>16290</v>
      </c>
      <c r="G250" s="340">
        <f t="shared" si="81"/>
        <v>16951</v>
      </c>
      <c r="H250" s="340">
        <f t="shared" si="81"/>
        <v>17173</v>
      </c>
      <c r="I250" s="340">
        <f t="shared" si="81"/>
        <v>19299</v>
      </c>
      <c r="J250" s="340">
        <f t="shared" si="81"/>
        <v>20226</v>
      </c>
      <c r="K250" s="340">
        <f t="shared" si="81"/>
        <v>22517</v>
      </c>
    </row>
    <row r="251" spans="1:12" s="612" customFormat="1" x14ac:dyDescent="0.25">
      <c r="A251" s="521"/>
      <c r="B251" s="521"/>
      <c r="C251" s="521"/>
      <c r="D251" s="521"/>
      <c r="E251" s="521"/>
      <c r="F251" s="1294"/>
      <c r="G251" s="521"/>
      <c r="H251" s="521"/>
      <c r="I251" s="521"/>
      <c r="J251" s="521"/>
      <c r="K251" s="521"/>
      <c r="L251" s="521"/>
    </row>
    <row r="252" spans="1:12" s="612" customFormat="1" ht="15.75" thickBot="1" x14ac:dyDescent="0.3">
      <c r="A252" s="521"/>
      <c r="B252" s="521"/>
      <c r="C252" s="521"/>
      <c r="D252" s="521"/>
      <c r="E252" s="521"/>
      <c r="F252" s="1294"/>
      <c r="G252" s="521"/>
      <c r="H252" s="521"/>
      <c r="I252" s="521"/>
      <c r="J252" s="521"/>
      <c r="K252" s="521"/>
      <c r="L252" s="521"/>
    </row>
    <row r="253" spans="1:12" ht="25.5" customHeight="1" thickBot="1" x14ac:dyDescent="0.3">
      <c r="B253" s="311" t="s">
        <v>855</v>
      </c>
      <c r="C253" s="312"/>
      <c r="D253" s="312"/>
      <c r="E253" s="312"/>
      <c r="F253" s="312"/>
      <c r="G253" s="312"/>
      <c r="H253" s="312"/>
      <c r="I253" s="312"/>
      <c r="J253" s="312"/>
      <c r="K253" s="313"/>
    </row>
    <row r="254" spans="1:12" s="509" customFormat="1" ht="25.5" customHeight="1" outlineLevel="1" x14ac:dyDescent="0.25">
      <c r="B254" s="521"/>
      <c r="C254" s="1680" t="s">
        <v>701</v>
      </c>
      <c r="D254" s="1681"/>
      <c r="E254" s="1681"/>
      <c r="F254" s="1681"/>
      <c r="G254" s="1681"/>
      <c r="H254" s="1681"/>
      <c r="I254" s="1681"/>
      <c r="J254" s="1681"/>
      <c r="K254" s="1682"/>
      <c r="L254" s="521"/>
    </row>
    <row r="255" spans="1:12" s="509" customFormat="1" ht="18" customHeight="1" outlineLevel="1" x14ac:dyDescent="0.25">
      <c r="B255" s="116"/>
      <c r="C255" s="1683" t="s">
        <v>181</v>
      </c>
      <c r="D255" s="1684"/>
      <c r="E255" s="1684"/>
      <c r="F255" s="1684"/>
      <c r="G255" s="1684"/>
      <c r="H255" s="1684"/>
      <c r="I255" s="1684"/>
      <c r="J255" s="1684"/>
      <c r="K255" s="1685"/>
      <c r="L255" s="521"/>
    </row>
    <row r="256" spans="1:12" s="509" customFormat="1" ht="15.75" outlineLevel="1" thickBot="1" x14ac:dyDescent="0.3">
      <c r="B256" s="452"/>
      <c r="C256" s="424">
        <f>CRY</f>
        <v>2011</v>
      </c>
      <c r="D256" s="425" t="str">
        <f ca="1">PRCP_y2</f>
        <v>2002</v>
      </c>
      <c r="E256" s="425" t="str">
        <f ca="1">PRCP_y3</f>
        <v>2003</v>
      </c>
      <c r="F256" s="425" t="str">
        <f ca="1">PRCP_y4</f>
        <v>2004</v>
      </c>
      <c r="G256" s="425" t="str">
        <f ca="1">PRCP_y5</f>
        <v>2005</v>
      </c>
      <c r="H256" s="426" t="str">
        <f ca="1">CRCP_y1</f>
        <v>2006</v>
      </c>
      <c r="I256" s="426" t="str">
        <f ca="1">CRCP_y2</f>
        <v>2007</v>
      </c>
      <c r="J256" s="426" t="str">
        <f ca="1">CRCP_y3</f>
        <v>2008</v>
      </c>
      <c r="K256" s="427" t="str">
        <f ca="1">CRCP_y4</f>
        <v>2009</v>
      </c>
      <c r="L256" s="521"/>
    </row>
    <row r="257" spans="2:11" outlineLevel="1" x14ac:dyDescent="0.25">
      <c r="B257" s="88" t="str">
        <f>IF(ISBLANK('N1. Demand'!B20),"",'N1. Demand'!B20)</f>
        <v>Tariff V Central Domestic</v>
      </c>
      <c r="C257" s="354">
        <v>1047</v>
      </c>
      <c r="D257" s="354">
        <v>1045</v>
      </c>
      <c r="E257" s="354">
        <v>1150</v>
      </c>
      <c r="F257" s="354">
        <v>1353</v>
      </c>
      <c r="G257" s="362">
        <v>1485</v>
      </c>
      <c r="H257" s="353">
        <v>1344</v>
      </c>
      <c r="I257" s="354">
        <v>1069</v>
      </c>
      <c r="J257" s="354">
        <v>1830</v>
      </c>
      <c r="K257" s="355">
        <v>1611</v>
      </c>
    </row>
    <row r="258" spans="2:11" outlineLevel="1" x14ac:dyDescent="0.25">
      <c r="B258" s="88" t="str">
        <f>IF(ISBLANK('N1. Demand'!B21),"",'N1. Demand'!B21)</f>
        <v>Tariff V Central Non-Domestic</v>
      </c>
      <c r="C258" s="354">
        <v>75</v>
      </c>
      <c r="D258" s="354">
        <v>45</v>
      </c>
      <c r="E258" s="354">
        <v>82</v>
      </c>
      <c r="F258" s="354">
        <v>74</v>
      </c>
      <c r="G258" s="371">
        <v>70</v>
      </c>
      <c r="H258" s="353">
        <v>51</v>
      </c>
      <c r="I258" s="354">
        <v>40</v>
      </c>
      <c r="J258" s="354">
        <v>75</v>
      </c>
      <c r="K258" s="355">
        <v>64</v>
      </c>
    </row>
    <row r="259" spans="2:11" outlineLevel="1" x14ac:dyDescent="0.25">
      <c r="B259" s="88" t="str">
        <f>IF(ISBLANK('N1. Demand'!B22),"",'N1. Demand'!B22)</f>
        <v>Tariff V Adjoining Central Domestic</v>
      </c>
      <c r="C259" s="354">
        <v>0</v>
      </c>
      <c r="D259" s="354">
        <v>4</v>
      </c>
      <c r="E259" s="354">
        <v>2</v>
      </c>
      <c r="F259" s="354">
        <v>4</v>
      </c>
      <c r="G259" s="371">
        <v>3</v>
      </c>
      <c r="H259" s="353">
        <v>3</v>
      </c>
      <c r="I259" s="354">
        <v>3</v>
      </c>
      <c r="J259" s="354">
        <v>3</v>
      </c>
      <c r="K259" s="355">
        <v>8</v>
      </c>
    </row>
    <row r="260" spans="2:11" outlineLevel="1" x14ac:dyDescent="0.25">
      <c r="B260" s="88" t="str">
        <f>IF(ISBLANK('N1. Demand'!B23),"",'N1. Demand'!B23)</f>
        <v>Tariff V Adjoining Central Non-Domestic</v>
      </c>
      <c r="C260" s="354">
        <v>0</v>
      </c>
      <c r="D260" s="354">
        <v>0</v>
      </c>
      <c r="E260" s="354">
        <v>0</v>
      </c>
      <c r="F260" s="354">
        <v>0</v>
      </c>
      <c r="G260" s="371">
        <v>1</v>
      </c>
      <c r="H260" s="353">
        <v>0</v>
      </c>
      <c r="I260" s="354">
        <v>0</v>
      </c>
      <c r="J260" s="354">
        <v>0</v>
      </c>
      <c r="K260" s="355">
        <v>0</v>
      </c>
    </row>
    <row r="261" spans="2:11" outlineLevel="1" x14ac:dyDescent="0.25">
      <c r="B261" s="88" t="str">
        <f>IF(ISBLANK('N1. Demand'!B24),"",'N1. Demand'!B24)</f>
        <v>Tariff V West Domestic</v>
      </c>
      <c r="C261" s="354">
        <v>111</v>
      </c>
      <c r="D261" s="354">
        <v>156</v>
      </c>
      <c r="E261" s="354">
        <v>112</v>
      </c>
      <c r="F261" s="354">
        <v>137</v>
      </c>
      <c r="G261" s="371">
        <v>150</v>
      </c>
      <c r="H261" s="353">
        <v>122</v>
      </c>
      <c r="I261" s="354">
        <v>127</v>
      </c>
      <c r="J261" s="354">
        <v>134</v>
      </c>
      <c r="K261" s="355">
        <v>183</v>
      </c>
    </row>
    <row r="262" spans="2:11" outlineLevel="1" x14ac:dyDescent="0.25">
      <c r="B262" s="88" t="str">
        <f>IF(ISBLANK('N1. Demand'!B25),"",'N1. Demand'!B25)</f>
        <v>Tariff V West Non-Domestic</v>
      </c>
      <c r="C262" s="354">
        <v>28</v>
      </c>
      <c r="D262" s="354">
        <v>32</v>
      </c>
      <c r="E262" s="354">
        <v>22</v>
      </c>
      <c r="F262" s="354">
        <v>34</v>
      </c>
      <c r="G262" s="371">
        <v>35</v>
      </c>
      <c r="H262" s="353">
        <v>28</v>
      </c>
      <c r="I262" s="354">
        <v>15</v>
      </c>
      <c r="J262" s="354">
        <v>49</v>
      </c>
      <c r="K262" s="355">
        <v>22</v>
      </c>
    </row>
    <row r="263" spans="2:11" outlineLevel="1" x14ac:dyDescent="0.25">
      <c r="B263" s="88" t="str">
        <f>IF(ISBLANK('N1. Demand'!B26),"",'N1. Demand'!B26)</f>
        <v>Tariff V Adjoining West Domestic</v>
      </c>
      <c r="C263" s="354">
        <v>2</v>
      </c>
      <c r="D263" s="354">
        <v>3</v>
      </c>
      <c r="E263" s="354">
        <v>3</v>
      </c>
      <c r="F263" s="354">
        <v>3</v>
      </c>
      <c r="G263" s="371">
        <v>7</v>
      </c>
      <c r="H263" s="353">
        <v>6</v>
      </c>
      <c r="I263" s="354">
        <v>2</v>
      </c>
      <c r="J263" s="354">
        <v>5</v>
      </c>
      <c r="K263" s="355">
        <v>10</v>
      </c>
    </row>
    <row r="264" spans="2:11" outlineLevel="1" x14ac:dyDescent="0.25">
      <c r="B264" s="88" t="str">
        <f>IF(ISBLANK('N1. Demand'!B27),"",'N1. Demand'!B27)</f>
        <v>Tariff V Adjoining West Non-Domestic</v>
      </c>
      <c r="C264" s="354">
        <v>0</v>
      </c>
      <c r="D264" s="354">
        <v>0</v>
      </c>
      <c r="E264" s="354">
        <v>0</v>
      </c>
      <c r="F264" s="354">
        <v>1</v>
      </c>
      <c r="G264" s="371">
        <v>1</v>
      </c>
      <c r="H264" s="353">
        <v>0</v>
      </c>
      <c r="I264" s="354">
        <v>0</v>
      </c>
      <c r="J264" s="354">
        <v>0</v>
      </c>
      <c r="K264" s="355">
        <v>0</v>
      </c>
    </row>
    <row r="265" spans="2:11" outlineLevel="1" x14ac:dyDescent="0.25">
      <c r="B265" s="88" t="str">
        <f>IF(ISBLANK('N1. Demand'!B28),"",'N1. Demand'!B28)</f>
        <v>Tariff D Central</v>
      </c>
      <c r="C265" s="354">
        <v>1</v>
      </c>
      <c r="D265" s="354">
        <v>4</v>
      </c>
      <c r="E265" s="354">
        <v>3</v>
      </c>
      <c r="F265" s="354">
        <v>6</v>
      </c>
      <c r="G265" s="371">
        <v>3</v>
      </c>
      <c r="H265" s="353">
        <v>2</v>
      </c>
      <c r="I265" s="354">
        <v>1</v>
      </c>
      <c r="J265" s="354">
        <v>3</v>
      </c>
      <c r="K265" s="355">
        <v>2</v>
      </c>
    </row>
    <row r="266" spans="2:11" s="1279" customFormat="1" outlineLevel="1" x14ac:dyDescent="0.25">
      <c r="B266" s="88" t="str">
        <f>IF(ISBLANK('N1. Demand'!B29),"",'N1. Demand'!B29)</f>
        <v>Tariff D Adjoining Central</v>
      </c>
      <c r="C266" s="354">
        <v>0</v>
      </c>
      <c r="D266" s="354">
        <v>0</v>
      </c>
      <c r="E266" s="354">
        <v>0</v>
      </c>
      <c r="F266" s="354">
        <v>0</v>
      </c>
      <c r="G266" s="371">
        <v>0</v>
      </c>
      <c r="H266" s="353">
        <v>0</v>
      </c>
      <c r="I266" s="354">
        <v>0</v>
      </c>
      <c r="J266" s="354">
        <v>0</v>
      </c>
      <c r="K266" s="355">
        <v>0</v>
      </c>
    </row>
    <row r="267" spans="2:11" s="1279" customFormat="1" outlineLevel="1" x14ac:dyDescent="0.25">
      <c r="B267" s="88" t="str">
        <f>IF(ISBLANK('N1. Demand'!B30),"",'N1. Demand'!B30)</f>
        <v>Tariff D West</v>
      </c>
      <c r="C267" s="354">
        <v>2</v>
      </c>
      <c r="D267" s="354">
        <v>1</v>
      </c>
      <c r="E267" s="354">
        <v>0</v>
      </c>
      <c r="F267" s="354">
        <v>0</v>
      </c>
      <c r="G267" s="371">
        <v>1</v>
      </c>
      <c r="H267" s="353">
        <v>0</v>
      </c>
      <c r="I267" s="354">
        <v>0</v>
      </c>
      <c r="J267" s="354">
        <v>2</v>
      </c>
      <c r="K267" s="355">
        <v>1</v>
      </c>
    </row>
    <row r="268" spans="2:11" s="1279" customFormat="1" outlineLevel="1" x14ac:dyDescent="0.25">
      <c r="B268" s="88" t="str">
        <f>IF(ISBLANK('N1. Demand'!B31),"",'N1. Demand'!B31)</f>
        <v>Tariff D Adjoining West</v>
      </c>
      <c r="C268" s="354">
        <v>0</v>
      </c>
      <c r="D268" s="354">
        <v>0</v>
      </c>
      <c r="E268" s="354">
        <v>0</v>
      </c>
      <c r="F268" s="354">
        <v>0</v>
      </c>
      <c r="G268" s="371">
        <v>0</v>
      </c>
      <c r="H268" s="353">
        <v>0</v>
      </c>
      <c r="I268" s="354">
        <v>0</v>
      </c>
      <c r="J268" s="354">
        <v>0</v>
      </c>
      <c r="K268" s="355">
        <v>0</v>
      </c>
    </row>
    <row r="269" spans="2:11" s="1279" customFormat="1" outlineLevel="1" x14ac:dyDescent="0.25">
      <c r="B269" s="88" t="str">
        <f>IF(ISBLANK('N1. Demand'!B32),"",'N1. Demand'!B32)</f>
        <v>Tariff M Central</v>
      </c>
      <c r="C269" s="354">
        <v>0</v>
      </c>
      <c r="D269" s="354">
        <v>0</v>
      </c>
      <c r="E269" s="354">
        <v>0</v>
      </c>
      <c r="F269" s="354">
        <v>0</v>
      </c>
      <c r="G269" s="371">
        <v>0</v>
      </c>
      <c r="H269" s="353">
        <v>0</v>
      </c>
      <c r="I269" s="354">
        <v>0</v>
      </c>
      <c r="J269" s="354">
        <v>0</v>
      </c>
      <c r="K269" s="355">
        <v>0</v>
      </c>
    </row>
    <row r="270" spans="2:11" s="1279" customFormat="1" outlineLevel="1" x14ac:dyDescent="0.25">
      <c r="B270" s="88" t="str">
        <f>IF(ISBLANK('N1. Demand'!B33),"",'N1. Demand'!B33)</f>
        <v>Tariff M Adjoining Central</v>
      </c>
      <c r="C270" s="354">
        <v>0</v>
      </c>
      <c r="D270" s="354">
        <v>0</v>
      </c>
      <c r="E270" s="354">
        <v>0</v>
      </c>
      <c r="F270" s="354">
        <v>0</v>
      </c>
      <c r="G270" s="371">
        <v>0</v>
      </c>
      <c r="H270" s="353">
        <v>0</v>
      </c>
      <c r="I270" s="354">
        <v>0</v>
      </c>
      <c r="J270" s="354">
        <v>0</v>
      </c>
      <c r="K270" s="355">
        <v>0</v>
      </c>
    </row>
    <row r="271" spans="2:11" s="1279" customFormat="1" outlineLevel="1" x14ac:dyDescent="0.25">
      <c r="B271" s="88" t="str">
        <f>IF(ISBLANK('N1. Demand'!B34),"",'N1. Demand'!B34)</f>
        <v>Tariff M West</v>
      </c>
      <c r="C271" s="354">
        <v>0</v>
      </c>
      <c r="D271" s="354">
        <v>0</v>
      </c>
      <c r="E271" s="354">
        <v>0</v>
      </c>
      <c r="F271" s="354">
        <v>0</v>
      </c>
      <c r="G271" s="371">
        <v>0</v>
      </c>
      <c r="H271" s="353">
        <v>0</v>
      </c>
      <c r="I271" s="354">
        <v>0</v>
      </c>
      <c r="J271" s="354">
        <v>0</v>
      </c>
      <c r="K271" s="355">
        <v>0</v>
      </c>
    </row>
    <row r="272" spans="2:11" s="1279" customFormat="1" outlineLevel="1" x14ac:dyDescent="0.25">
      <c r="B272" s="88" t="str">
        <f>IF(ISBLANK('N1. Demand'!B35),"",'N1. Demand'!B35)</f>
        <v>Tariff M Adjoining West</v>
      </c>
      <c r="C272" s="354">
        <v>0</v>
      </c>
      <c r="D272" s="354">
        <v>0</v>
      </c>
      <c r="E272" s="354">
        <v>0</v>
      </c>
      <c r="F272" s="354">
        <v>0</v>
      </c>
      <c r="G272" s="371">
        <v>0</v>
      </c>
      <c r="H272" s="353">
        <v>0</v>
      </c>
      <c r="I272" s="354">
        <v>0</v>
      </c>
      <c r="J272" s="354">
        <v>0</v>
      </c>
      <c r="K272" s="355">
        <v>0</v>
      </c>
    </row>
    <row r="273" spans="2:11" s="1279" customFormat="1" outlineLevel="1" x14ac:dyDescent="0.25">
      <c r="B273" s="88" t="str">
        <f>IF(ISBLANK('N1. Demand'!B36),"",'N1. Demand'!B36)</f>
        <v>T17</v>
      </c>
      <c r="C273" s="354"/>
      <c r="D273" s="354"/>
      <c r="E273" s="354"/>
      <c r="F273" s="354"/>
      <c r="G273" s="371"/>
      <c r="H273" s="353"/>
      <c r="I273" s="354"/>
      <c r="J273" s="354"/>
      <c r="K273" s="355"/>
    </row>
    <row r="274" spans="2:11" s="1279" customFormat="1" outlineLevel="1" x14ac:dyDescent="0.25">
      <c r="B274" s="88" t="str">
        <f>IF(ISBLANK('N1. Demand'!B37),"",'N1. Demand'!B37)</f>
        <v>T18</v>
      </c>
      <c r="C274" s="354"/>
      <c r="D274" s="354"/>
      <c r="E274" s="354"/>
      <c r="F274" s="354"/>
      <c r="G274" s="371"/>
      <c r="H274" s="353"/>
      <c r="I274" s="354"/>
      <c r="J274" s="354"/>
      <c r="K274" s="355"/>
    </row>
    <row r="275" spans="2:11" s="1279" customFormat="1" outlineLevel="1" x14ac:dyDescent="0.25">
      <c r="B275" s="88" t="str">
        <f>IF(ISBLANK('N1. Demand'!B38),"",'N1. Demand'!B38)</f>
        <v>T19</v>
      </c>
      <c r="C275" s="354"/>
      <c r="D275" s="354"/>
      <c r="E275" s="354"/>
      <c r="F275" s="354"/>
      <c r="G275" s="371"/>
      <c r="H275" s="353"/>
      <c r="I275" s="354"/>
      <c r="J275" s="354"/>
      <c r="K275" s="355"/>
    </row>
    <row r="276" spans="2:11" s="1279" customFormat="1" outlineLevel="1" x14ac:dyDescent="0.25">
      <c r="B276" s="88" t="str">
        <f>IF(ISBLANK('N1. Demand'!B39),"",'N1. Demand'!B39)</f>
        <v>T20</v>
      </c>
      <c r="C276" s="354"/>
      <c r="D276" s="354"/>
      <c r="E276" s="354"/>
      <c r="F276" s="354"/>
      <c r="G276" s="371"/>
      <c r="H276" s="353"/>
      <c r="I276" s="354"/>
      <c r="J276" s="354"/>
      <c r="K276" s="355"/>
    </row>
    <row r="277" spans="2:11" s="1279" customFormat="1" outlineLevel="1" x14ac:dyDescent="0.25">
      <c r="B277" s="88" t="str">
        <f>IF(ISBLANK('N1. Demand'!B40),"",'N1. Demand'!B40)</f>
        <v>T21</v>
      </c>
      <c r="C277" s="354"/>
      <c r="D277" s="354"/>
      <c r="E277" s="354"/>
      <c r="F277" s="354"/>
      <c r="G277" s="371"/>
      <c r="H277" s="353"/>
      <c r="I277" s="354"/>
      <c r="J277" s="354"/>
      <c r="K277" s="355"/>
    </row>
    <row r="278" spans="2:11" s="1279" customFormat="1" outlineLevel="1" x14ac:dyDescent="0.25">
      <c r="B278" s="88" t="str">
        <f>IF(ISBLANK('N1. Demand'!B41),"",'N1. Demand'!B41)</f>
        <v>T22</v>
      </c>
      <c r="C278" s="354"/>
      <c r="D278" s="354"/>
      <c r="E278" s="354"/>
      <c r="F278" s="354"/>
      <c r="G278" s="371"/>
      <c r="H278" s="353"/>
      <c r="I278" s="354"/>
      <c r="J278" s="354"/>
      <c r="K278" s="355"/>
    </row>
    <row r="279" spans="2:11" s="1279" customFormat="1" outlineLevel="1" x14ac:dyDescent="0.25">
      <c r="B279" s="88" t="str">
        <f>IF(ISBLANK('N1. Demand'!B42),"",'N1. Demand'!B42)</f>
        <v>T23</v>
      </c>
      <c r="C279" s="354"/>
      <c r="D279" s="354"/>
      <c r="E279" s="354"/>
      <c r="F279" s="354"/>
      <c r="G279" s="371"/>
      <c r="H279" s="353"/>
      <c r="I279" s="354"/>
      <c r="J279" s="354"/>
      <c r="K279" s="355"/>
    </row>
    <row r="280" spans="2:11" s="1279" customFormat="1" outlineLevel="1" x14ac:dyDescent="0.25">
      <c r="B280" s="88" t="str">
        <f>IF(ISBLANK('N1. Demand'!B43),"",'N1. Demand'!B43)</f>
        <v>T24</v>
      </c>
      <c r="C280" s="354"/>
      <c r="D280" s="354"/>
      <c r="E280" s="354"/>
      <c r="F280" s="354"/>
      <c r="G280" s="371"/>
      <c r="H280" s="353"/>
      <c r="I280" s="354"/>
      <c r="J280" s="354"/>
      <c r="K280" s="355"/>
    </row>
    <row r="281" spans="2:11" s="1279" customFormat="1" outlineLevel="1" x14ac:dyDescent="0.25">
      <c r="B281" s="88" t="str">
        <f>IF(ISBLANK('N1. Demand'!B44),"",'N1. Demand'!B44)</f>
        <v>T25</v>
      </c>
      <c r="C281" s="354"/>
      <c r="D281" s="354"/>
      <c r="E281" s="354"/>
      <c r="F281" s="354"/>
      <c r="G281" s="371"/>
      <c r="H281" s="353"/>
      <c r="I281" s="354"/>
      <c r="J281" s="354"/>
      <c r="K281" s="355"/>
    </row>
    <row r="282" spans="2:11" s="1279" customFormat="1" outlineLevel="1" x14ac:dyDescent="0.25">
      <c r="B282" s="88" t="str">
        <f>IF(ISBLANK('N1. Demand'!B45),"",'N1. Demand'!B45)</f>
        <v>T26</v>
      </c>
      <c r="C282" s="354"/>
      <c r="D282" s="354"/>
      <c r="E282" s="354"/>
      <c r="F282" s="354"/>
      <c r="G282" s="371"/>
      <c r="H282" s="353"/>
      <c r="I282" s="354"/>
      <c r="J282" s="354"/>
      <c r="K282" s="355"/>
    </row>
    <row r="283" spans="2:11" s="1279" customFormat="1" outlineLevel="1" x14ac:dyDescent="0.25">
      <c r="B283" s="88" t="str">
        <f>IF(ISBLANK('N1. Demand'!B46),"",'N1. Demand'!B46)</f>
        <v>T27</v>
      </c>
      <c r="C283" s="354"/>
      <c r="D283" s="354"/>
      <c r="E283" s="354"/>
      <c r="F283" s="354"/>
      <c r="G283" s="371"/>
      <c r="H283" s="353"/>
      <c r="I283" s="354"/>
      <c r="J283" s="354"/>
      <c r="K283" s="355"/>
    </row>
    <row r="284" spans="2:11" s="1279" customFormat="1" outlineLevel="1" x14ac:dyDescent="0.25">
      <c r="B284" s="88" t="str">
        <f>IF(ISBLANK('N1. Demand'!B47),"",'N1. Demand'!B47)</f>
        <v>T28</v>
      </c>
      <c r="C284" s="354"/>
      <c r="D284" s="354"/>
      <c r="E284" s="354"/>
      <c r="F284" s="354"/>
      <c r="G284" s="371"/>
      <c r="H284" s="353"/>
      <c r="I284" s="354"/>
      <c r="J284" s="354"/>
      <c r="K284" s="355"/>
    </row>
    <row r="285" spans="2:11" s="1279" customFormat="1" outlineLevel="1" x14ac:dyDescent="0.25">
      <c r="B285" s="88" t="str">
        <f>IF(ISBLANK('N1. Demand'!B48),"",'N1. Demand'!B48)</f>
        <v>T29</v>
      </c>
      <c r="C285" s="354"/>
      <c r="D285" s="354"/>
      <c r="E285" s="354"/>
      <c r="F285" s="354"/>
      <c r="G285" s="371"/>
      <c r="H285" s="353"/>
      <c r="I285" s="354"/>
      <c r="J285" s="354"/>
      <c r="K285" s="355"/>
    </row>
    <row r="286" spans="2:11" s="1279" customFormat="1" outlineLevel="1" x14ac:dyDescent="0.25">
      <c r="B286" s="88" t="str">
        <f>IF(ISBLANK('N1. Demand'!B49),"",'N1. Demand'!B49)</f>
        <v>T30</v>
      </c>
      <c r="C286" s="354"/>
      <c r="D286" s="354"/>
      <c r="E286" s="354"/>
      <c r="F286" s="354"/>
      <c r="G286" s="371"/>
      <c r="H286" s="353"/>
      <c r="I286" s="354"/>
      <c r="J286" s="354"/>
      <c r="K286" s="355"/>
    </row>
    <row r="287" spans="2:11" s="1279" customFormat="1" outlineLevel="1" x14ac:dyDescent="0.25">
      <c r="B287" s="88" t="str">
        <f>IF(ISBLANK('N1. Demand'!B50),"",'N1. Demand'!B50)</f>
        <v>T31</v>
      </c>
      <c r="C287" s="354"/>
      <c r="D287" s="354"/>
      <c r="E287" s="354"/>
      <c r="F287" s="354"/>
      <c r="G287" s="371"/>
      <c r="H287" s="353"/>
      <c r="I287" s="354"/>
      <c r="J287" s="354"/>
      <c r="K287" s="355"/>
    </row>
    <row r="288" spans="2:11" s="1279" customFormat="1" outlineLevel="1" x14ac:dyDescent="0.25">
      <c r="B288" s="88" t="str">
        <f>IF(ISBLANK('N1. Demand'!B51),"",'N1. Demand'!B51)</f>
        <v>T32</v>
      </c>
      <c r="C288" s="354"/>
      <c r="D288" s="354"/>
      <c r="E288" s="354"/>
      <c r="F288" s="354"/>
      <c r="G288" s="371"/>
      <c r="H288" s="353"/>
      <c r="I288" s="354"/>
      <c r="J288" s="354"/>
      <c r="K288" s="355"/>
    </row>
    <row r="289" spans="2:11" s="1279" customFormat="1" outlineLevel="1" x14ac:dyDescent="0.25">
      <c r="B289" s="88" t="str">
        <f>IF(ISBLANK('N1. Demand'!B52),"",'N1. Demand'!B52)</f>
        <v>T33</v>
      </c>
      <c r="C289" s="354"/>
      <c r="D289" s="354"/>
      <c r="E289" s="354"/>
      <c r="F289" s="354"/>
      <c r="G289" s="371"/>
      <c r="H289" s="353"/>
      <c r="I289" s="354"/>
      <c r="J289" s="354"/>
      <c r="K289" s="355"/>
    </row>
    <row r="290" spans="2:11" s="1279" customFormat="1" outlineLevel="1" x14ac:dyDescent="0.25">
      <c r="B290" s="88" t="str">
        <f>IF(ISBLANK('N1. Demand'!B53),"",'N1. Demand'!B53)</f>
        <v>T34</v>
      </c>
      <c r="C290" s="354"/>
      <c r="D290" s="354"/>
      <c r="E290" s="354"/>
      <c r="F290" s="354"/>
      <c r="G290" s="371"/>
      <c r="H290" s="353"/>
      <c r="I290" s="354"/>
      <c r="J290" s="354"/>
      <c r="K290" s="355"/>
    </row>
    <row r="291" spans="2:11" outlineLevel="1" x14ac:dyDescent="0.25">
      <c r="B291" s="88" t="str">
        <f>IF(ISBLANK('N1. Demand'!B54),"",'N1. Demand'!B54)</f>
        <v>T35</v>
      </c>
      <c r="C291" s="354"/>
      <c r="D291" s="354"/>
      <c r="E291" s="354"/>
      <c r="F291" s="354"/>
      <c r="G291" s="371"/>
      <c r="H291" s="353"/>
      <c r="I291" s="354"/>
      <c r="J291" s="354"/>
      <c r="K291" s="355"/>
    </row>
    <row r="292" spans="2:11" outlineLevel="1" x14ac:dyDescent="0.25">
      <c r="B292" s="88" t="str">
        <f>IF(ISBLANK('N1. Demand'!B55),"",'N1. Demand'!B55)</f>
        <v>T36</v>
      </c>
      <c r="C292" s="354"/>
      <c r="D292" s="354"/>
      <c r="E292" s="354"/>
      <c r="F292" s="354"/>
      <c r="G292" s="371"/>
      <c r="H292" s="353"/>
      <c r="I292" s="354"/>
      <c r="J292" s="354"/>
      <c r="K292" s="355"/>
    </row>
    <row r="293" spans="2:11" outlineLevel="1" x14ac:dyDescent="0.25">
      <c r="B293" s="88" t="str">
        <f>IF(ISBLANK('N1. Demand'!B56),"",'N1. Demand'!B56)</f>
        <v>T37</v>
      </c>
      <c r="C293" s="354"/>
      <c r="D293" s="354"/>
      <c r="E293" s="354"/>
      <c r="F293" s="354"/>
      <c r="G293" s="371"/>
      <c r="H293" s="353"/>
      <c r="I293" s="354"/>
      <c r="J293" s="354"/>
      <c r="K293" s="355"/>
    </row>
    <row r="294" spans="2:11" outlineLevel="1" x14ac:dyDescent="0.25">
      <c r="B294" s="88" t="str">
        <f>IF(ISBLANK('N1. Demand'!B57),"",'N1. Demand'!B57)</f>
        <v>T38</v>
      </c>
      <c r="C294" s="354"/>
      <c r="D294" s="354"/>
      <c r="E294" s="354"/>
      <c r="F294" s="354"/>
      <c r="G294" s="371"/>
      <c r="H294" s="353"/>
      <c r="I294" s="354"/>
      <c r="J294" s="354"/>
      <c r="K294" s="355"/>
    </row>
    <row r="295" spans="2:11" outlineLevel="1" x14ac:dyDescent="0.25">
      <c r="B295" s="88" t="str">
        <f>IF(ISBLANK('N1. Demand'!B58),"",'N1. Demand'!B58)</f>
        <v>T39</v>
      </c>
      <c r="C295" s="354"/>
      <c r="D295" s="354"/>
      <c r="E295" s="354"/>
      <c r="F295" s="354"/>
      <c r="G295" s="371"/>
      <c r="H295" s="353"/>
      <c r="I295" s="354"/>
      <c r="J295" s="354"/>
      <c r="K295" s="355"/>
    </row>
    <row r="296" spans="2:11" outlineLevel="1" x14ac:dyDescent="0.25">
      <c r="B296" s="88" t="str">
        <f>IF(ISBLANK('N1. Demand'!B59),"",'N1. Demand'!B59)</f>
        <v>T40</v>
      </c>
      <c r="C296" s="354"/>
      <c r="D296" s="354"/>
      <c r="E296" s="354"/>
      <c r="F296" s="354"/>
      <c r="G296" s="371"/>
      <c r="H296" s="353"/>
      <c r="I296" s="354"/>
      <c r="J296" s="354"/>
      <c r="K296" s="355"/>
    </row>
    <row r="297" spans="2:11" outlineLevel="1" x14ac:dyDescent="0.25">
      <c r="B297" s="88" t="str">
        <f>IF(ISBLANK('N1. Demand'!B60),"",'N1. Demand'!B60)</f>
        <v>T41</v>
      </c>
      <c r="C297" s="354"/>
      <c r="D297" s="354"/>
      <c r="E297" s="354"/>
      <c r="F297" s="354"/>
      <c r="G297" s="371"/>
      <c r="H297" s="353"/>
      <c r="I297" s="354"/>
      <c r="J297" s="354"/>
      <c r="K297" s="355"/>
    </row>
    <row r="298" spans="2:11" outlineLevel="1" x14ac:dyDescent="0.25">
      <c r="B298" s="88" t="str">
        <f>IF(ISBLANK('N1. Demand'!B61),"",'N1. Demand'!B61)</f>
        <v>T42</v>
      </c>
      <c r="C298" s="354"/>
      <c r="D298" s="354"/>
      <c r="E298" s="354"/>
      <c r="F298" s="354"/>
      <c r="G298" s="371"/>
      <c r="H298" s="353"/>
      <c r="I298" s="354"/>
      <c r="J298" s="354"/>
      <c r="K298" s="355"/>
    </row>
    <row r="299" spans="2:11" outlineLevel="1" x14ac:dyDescent="0.25">
      <c r="B299" s="88" t="str">
        <f>IF(ISBLANK('N1. Demand'!B62),"",'N1. Demand'!B62)</f>
        <v>T43</v>
      </c>
      <c r="C299" s="354"/>
      <c r="D299" s="354"/>
      <c r="E299" s="354"/>
      <c r="F299" s="354"/>
      <c r="G299" s="371"/>
      <c r="H299" s="353"/>
      <c r="I299" s="354"/>
      <c r="J299" s="354"/>
      <c r="K299" s="355"/>
    </row>
    <row r="300" spans="2:11" outlineLevel="1" x14ac:dyDescent="0.25">
      <c r="B300" s="88" t="str">
        <f>IF(ISBLANK('N1. Demand'!B63),"",'N1. Demand'!B63)</f>
        <v>T44</v>
      </c>
      <c r="C300" s="354"/>
      <c r="D300" s="354"/>
      <c r="E300" s="354"/>
      <c r="F300" s="354"/>
      <c r="G300" s="371"/>
      <c r="H300" s="353"/>
      <c r="I300" s="354"/>
      <c r="J300" s="354"/>
      <c r="K300" s="355"/>
    </row>
    <row r="301" spans="2:11" outlineLevel="1" x14ac:dyDescent="0.25">
      <c r="B301" s="88" t="str">
        <f>IF(ISBLANK('N1. Demand'!B64),"",'N1. Demand'!B64)</f>
        <v>T45</v>
      </c>
      <c r="C301" s="354"/>
      <c r="D301" s="354"/>
      <c r="E301" s="354"/>
      <c r="F301" s="354"/>
      <c r="G301" s="371"/>
      <c r="H301" s="353"/>
      <c r="I301" s="354"/>
      <c r="J301" s="354"/>
      <c r="K301" s="355"/>
    </row>
    <row r="302" spans="2:11" outlineLevel="1" x14ac:dyDescent="0.25">
      <c r="B302" s="88" t="str">
        <f>IF(ISBLANK('N1. Demand'!B65),"",'N1. Demand'!B65)</f>
        <v>T46</v>
      </c>
      <c r="C302" s="354"/>
      <c r="D302" s="354"/>
      <c r="E302" s="354"/>
      <c r="F302" s="354"/>
      <c r="G302" s="371"/>
      <c r="H302" s="353"/>
      <c r="I302" s="354"/>
      <c r="J302" s="354"/>
      <c r="K302" s="355"/>
    </row>
    <row r="303" spans="2:11" outlineLevel="1" x14ac:dyDescent="0.25">
      <c r="B303" s="88" t="str">
        <f>IF(ISBLANK('N1. Demand'!B66),"",'N1. Demand'!B66)</f>
        <v>T47</v>
      </c>
      <c r="C303" s="354"/>
      <c r="D303" s="354"/>
      <c r="E303" s="354"/>
      <c r="F303" s="354"/>
      <c r="G303" s="371"/>
      <c r="H303" s="353"/>
      <c r="I303" s="354"/>
      <c r="J303" s="354"/>
      <c r="K303" s="355"/>
    </row>
    <row r="304" spans="2:11" outlineLevel="1" x14ac:dyDescent="0.25">
      <c r="B304" s="88" t="str">
        <f>IF(ISBLANK('N1. Demand'!B67),"",'N1. Demand'!B67)</f>
        <v>T48</v>
      </c>
      <c r="C304" s="354"/>
      <c r="D304" s="354"/>
      <c r="E304" s="354"/>
      <c r="F304" s="354"/>
      <c r="G304" s="371"/>
      <c r="H304" s="353"/>
      <c r="I304" s="354"/>
      <c r="J304" s="354"/>
      <c r="K304" s="355"/>
    </row>
    <row r="305" spans="2:11" outlineLevel="1" x14ac:dyDescent="0.25">
      <c r="B305" s="88" t="str">
        <f>IF(ISBLANK('N1. Demand'!B68),"",'N1. Demand'!B68)</f>
        <v>T49</v>
      </c>
      <c r="C305" s="354"/>
      <c r="D305" s="354"/>
      <c r="E305" s="354"/>
      <c r="F305" s="354"/>
      <c r="G305" s="371"/>
      <c r="H305" s="353"/>
      <c r="I305" s="354"/>
      <c r="J305" s="354"/>
      <c r="K305" s="355"/>
    </row>
    <row r="306" spans="2:11" s="1356" customFormat="1" outlineLevel="1" x14ac:dyDescent="0.25">
      <c r="B306" s="88" t="str">
        <f>IF(ISBLANK('N1. Demand'!B69),"",'N1. Demand'!B69)</f>
        <v>T50</v>
      </c>
      <c r="C306" s="354"/>
      <c r="D306" s="354"/>
      <c r="E306" s="354"/>
      <c r="F306" s="354"/>
      <c r="G306" s="442"/>
      <c r="H306" s="353"/>
      <c r="I306" s="354"/>
      <c r="J306" s="354"/>
      <c r="K306" s="355"/>
    </row>
    <row r="307" spans="2:11" s="1356" customFormat="1" outlineLevel="1" x14ac:dyDescent="0.25">
      <c r="B307" s="88" t="str">
        <f>IF(ISBLANK('N1. Demand'!B70),"",'N1. Demand'!B70)</f>
        <v>T51</v>
      </c>
      <c r="C307" s="354"/>
      <c r="D307" s="354"/>
      <c r="E307" s="354"/>
      <c r="F307" s="354"/>
      <c r="G307" s="442"/>
      <c r="H307" s="353"/>
      <c r="I307" s="354"/>
      <c r="J307" s="354"/>
      <c r="K307" s="355"/>
    </row>
    <row r="308" spans="2:11" s="1356" customFormat="1" outlineLevel="1" x14ac:dyDescent="0.25">
      <c r="B308" s="88" t="str">
        <f>IF(ISBLANK('N1. Demand'!B71),"",'N1. Demand'!B71)</f>
        <v>T52</v>
      </c>
      <c r="C308" s="354"/>
      <c r="D308" s="354"/>
      <c r="E308" s="354"/>
      <c r="F308" s="354"/>
      <c r="G308" s="442"/>
      <c r="H308" s="353"/>
      <c r="I308" s="354"/>
      <c r="J308" s="354"/>
      <c r="K308" s="355"/>
    </row>
    <row r="309" spans="2:11" s="1356" customFormat="1" outlineLevel="1" x14ac:dyDescent="0.25">
      <c r="B309" s="88" t="str">
        <f>IF(ISBLANK('N1. Demand'!B72),"",'N1. Demand'!B72)</f>
        <v>T53</v>
      </c>
      <c r="C309" s="354"/>
      <c r="D309" s="354"/>
      <c r="E309" s="354"/>
      <c r="F309" s="354"/>
      <c r="G309" s="442"/>
      <c r="H309" s="353"/>
      <c r="I309" s="354"/>
      <c r="J309" s="354"/>
      <c r="K309" s="355"/>
    </row>
    <row r="310" spans="2:11" s="1356" customFormat="1" outlineLevel="1" x14ac:dyDescent="0.25">
      <c r="B310" s="88" t="str">
        <f>IF(ISBLANK('N1. Demand'!B73),"",'N1. Demand'!B73)</f>
        <v>T54</v>
      </c>
      <c r="C310" s="354"/>
      <c r="D310" s="354"/>
      <c r="E310" s="354"/>
      <c r="F310" s="354"/>
      <c r="G310" s="442"/>
      <c r="H310" s="353"/>
      <c r="I310" s="354"/>
      <c r="J310" s="354"/>
      <c r="K310" s="355"/>
    </row>
    <row r="311" spans="2:11" s="1356" customFormat="1" outlineLevel="1" x14ac:dyDescent="0.25">
      <c r="B311" s="88" t="str">
        <f>IF(ISBLANK('N1. Demand'!B74),"",'N1. Demand'!B74)</f>
        <v>T55</v>
      </c>
      <c r="C311" s="354"/>
      <c r="D311" s="354"/>
      <c r="E311" s="354"/>
      <c r="F311" s="354"/>
      <c r="G311" s="442"/>
      <c r="H311" s="353"/>
      <c r="I311" s="354"/>
      <c r="J311" s="354"/>
      <c r="K311" s="355"/>
    </row>
    <row r="312" spans="2:11" s="1356" customFormat="1" outlineLevel="1" x14ac:dyDescent="0.25">
      <c r="B312" s="88" t="str">
        <f>IF(ISBLANK('N1. Demand'!B75),"",'N1. Demand'!B75)</f>
        <v>T56</v>
      </c>
      <c r="C312" s="354"/>
      <c r="D312" s="354"/>
      <c r="E312" s="354"/>
      <c r="F312" s="354"/>
      <c r="G312" s="442"/>
      <c r="H312" s="353"/>
      <c r="I312" s="354"/>
      <c r="J312" s="354"/>
      <c r="K312" s="355"/>
    </row>
    <row r="313" spans="2:11" s="1356" customFormat="1" outlineLevel="1" x14ac:dyDescent="0.25">
      <c r="B313" s="88" t="str">
        <f>IF(ISBLANK('N1. Demand'!B76),"",'N1. Demand'!B76)</f>
        <v>T57</v>
      </c>
      <c r="C313" s="354"/>
      <c r="D313" s="354"/>
      <c r="E313" s="354"/>
      <c r="F313" s="354"/>
      <c r="G313" s="442"/>
      <c r="H313" s="353"/>
      <c r="I313" s="354"/>
      <c r="J313" s="354"/>
      <c r="K313" s="355"/>
    </row>
    <row r="314" spans="2:11" s="1356" customFormat="1" outlineLevel="1" x14ac:dyDescent="0.25">
      <c r="B314" s="88" t="str">
        <f>IF(ISBLANK('N1. Demand'!B77),"",'N1. Demand'!B77)</f>
        <v>T58</v>
      </c>
      <c r="C314" s="354"/>
      <c r="D314" s="354"/>
      <c r="E314" s="354"/>
      <c r="F314" s="354"/>
      <c r="G314" s="442"/>
      <c r="H314" s="353"/>
      <c r="I314" s="354"/>
      <c r="J314" s="354"/>
      <c r="K314" s="355"/>
    </row>
    <row r="315" spans="2:11" s="1356" customFormat="1" outlineLevel="1" x14ac:dyDescent="0.25">
      <c r="B315" s="88" t="str">
        <f>IF(ISBLANK('N1. Demand'!B78),"",'N1. Demand'!B78)</f>
        <v>T59</v>
      </c>
      <c r="C315" s="354"/>
      <c r="D315" s="354"/>
      <c r="E315" s="354"/>
      <c r="F315" s="354"/>
      <c r="G315" s="442"/>
      <c r="H315" s="353"/>
      <c r="I315" s="354"/>
      <c r="J315" s="354"/>
      <c r="K315" s="355"/>
    </row>
    <row r="316" spans="2:11" s="1356" customFormat="1" outlineLevel="1" x14ac:dyDescent="0.25">
      <c r="B316" s="88" t="str">
        <f>IF(ISBLANK('N1. Demand'!B79),"",'N1. Demand'!B79)</f>
        <v>T60</v>
      </c>
      <c r="C316" s="354"/>
      <c r="D316" s="354"/>
      <c r="E316" s="354"/>
      <c r="F316" s="354"/>
      <c r="G316" s="442"/>
      <c r="H316" s="353"/>
      <c r="I316" s="354"/>
      <c r="J316" s="354"/>
      <c r="K316" s="355"/>
    </row>
    <row r="317" spans="2:11" s="1356" customFormat="1" outlineLevel="1" x14ac:dyDescent="0.25">
      <c r="B317" s="88" t="str">
        <f>IF(ISBLANK('N1. Demand'!B80),"",'N1. Demand'!B80)</f>
        <v>T61</v>
      </c>
      <c r="C317" s="354"/>
      <c r="D317" s="354"/>
      <c r="E317" s="354"/>
      <c r="F317" s="354"/>
      <c r="G317" s="442"/>
      <c r="H317" s="353"/>
      <c r="I317" s="354"/>
      <c r="J317" s="354"/>
      <c r="K317" s="355"/>
    </row>
    <row r="318" spans="2:11" s="1356" customFormat="1" outlineLevel="1" x14ac:dyDescent="0.25">
      <c r="B318" s="88" t="str">
        <f>IF(ISBLANK('N1. Demand'!B81),"",'N1. Demand'!B81)</f>
        <v>T62</v>
      </c>
      <c r="C318" s="354"/>
      <c r="D318" s="354"/>
      <c r="E318" s="354"/>
      <c r="F318" s="354"/>
      <c r="G318" s="442"/>
      <c r="H318" s="353"/>
      <c r="I318" s="354"/>
      <c r="J318" s="354"/>
      <c r="K318" s="355"/>
    </row>
    <row r="319" spans="2:11" s="1356" customFormat="1" outlineLevel="1" x14ac:dyDescent="0.25">
      <c r="B319" s="88" t="str">
        <f>IF(ISBLANK('N1. Demand'!B82),"",'N1. Demand'!B82)</f>
        <v>T63</v>
      </c>
      <c r="C319" s="354"/>
      <c r="D319" s="354"/>
      <c r="E319" s="354"/>
      <c r="F319" s="354"/>
      <c r="G319" s="442"/>
      <c r="H319" s="353"/>
      <c r="I319" s="354"/>
      <c r="J319" s="354"/>
      <c r="K319" s="355"/>
    </row>
    <row r="320" spans="2:11" s="1356" customFormat="1" outlineLevel="1" x14ac:dyDescent="0.25">
      <c r="B320" s="88" t="str">
        <f>IF(ISBLANK('N1. Demand'!B83),"",'N1. Demand'!B83)</f>
        <v>T64</v>
      </c>
      <c r="C320" s="354"/>
      <c r="D320" s="354"/>
      <c r="E320" s="354"/>
      <c r="F320" s="354"/>
      <c r="G320" s="442"/>
      <c r="H320" s="353"/>
      <c r="I320" s="354"/>
      <c r="J320" s="354"/>
      <c r="K320" s="355"/>
    </row>
    <row r="321" spans="2:11" s="1356" customFormat="1" outlineLevel="1" x14ac:dyDescent="0.25">
      <c r="B321" s="88" t="str">
        <f>IF(ISBLANK('N1. Demand'!B84),"",'N1. Demand'!B84)</f>
        <v>T65</v>
      </c>
      <c r="C321" s="354"/>
      <c r="D321" s="354"/>
      <c r="E321" s="354"/>
      <c r="F321" s="354"/>
      <c r="G321" s="442"/>
      <c r="H321" s="353"/>
      <c r="I321" s="354"/>
      <c r="J321" s="354"/>
      <c r="K321" s="355"/>
    </row>
    <row r="322" spans="2:11" s="1356" customFormat="1" outlineLevel="1" x14ac:dyDescent="0.25">
      <c r="B322" s="88" t="str">
        <f>IF(ISBLANK('N1. Demand'!B85),"",'N1. Demand'!B85)</f>
        <v>T66</v>
      </c>
      <c r="C322" s="354"/>
      <c r="D322" s="354"/>
      <c r="E322" s="354"/>
      <c r="F322" s="354"/>
      <c r="G322" s="442"/>
      <c r="H322" s="353"/>
      <c r="I322" s="354"/>
      <c r="J322" s="354"/>
      <c r="K322" s="355"/>
    </row>
    <row r="323" spans="2:11" s="1356" customFormat="1" outlineLevel="1" x14ac:dyDescent="0.25">
      <c r="B323" s="88" t="str">
        <f>IF(ISBLANK('N1. Demand'!B86),"",'N1. Demand'!B86)</f>
        <v>T67</v>
      </c>
      <c r="C323" s="354"/>
      <c r="D323" s="354"/>
      <c r="E323" s="354"/>
      <c r="F323" s="354"/>
      <c r="G323" s="442"/>
      <c r="H323" s="353"/>
      <c r="I323" s="354"/>
      <c r="J323" s="354"/>
      <c r="K323" s="355"/>
    </row>
    <row r="324" spans="2:11" s="1356" customFormat="1" outlineLevel="1" x14ac:dyDescent="0.25">
      <c r="B324" s="88" t="str">
        <f>IF(ISBLANK('N1. Demand'!B87),"",'N1. Demand'!B87)</f>
        <v>T68</v>
      </c>
      <c r="C324" s="354"/>
      <c r="D324" s="354"/>
      <c r="E324" s="354"/>
      <c r="F324" s="354"/>
      <c r="G324" s="442"/>
      <c r="H324" s="353"/>
      <c r="I324" s="354"/>
      <c r="J324" s="354"/>
      <c r="K324" s="355"/>
    </row>
    <row r="325" spans="2:11" s="1356" customFormat="1" outlineLevel="1" x14ac:dyDescent="0.25">
      <c r="B325" s="88" t="str">
        <f>IF(ISBLANK('N1. Demand'!B88),"",'N1. Demand'!B88)</f>
        <v>T69</v>
      </c>
      <c r="C325" s="354"/>
      <c r="D325" s="354"/>
      <c r="E325" s="354"/>
      <c r="F325" s="354"/>
      <c r="G325" s="442"/>
      <c r="H325" s="353"/>
      <c r="I325" s="354"/>
      <c r="J325" s="354"/>
      <c r="K325" s="355"/>
    </row>
    <row r="326" spans="2:11" s="1356" customFormat="1" outlineLevel="1" x14ac:dyDescent="0.25">
      <c r="B326" s="88" t="str">
        <f>IF(ISBLANK('N1. Demand'!B89),"",'N1. Demand'!B89)</f>
        <v>T70</v>
      </c>
      <c r="C326" s="354"/>
      <c r="D326" s="354"/>
      <c r="E326" s="354"/>
      <c r="F326" s="354"/>
      <c r="G326" s="442"/>
      <c r="H326" s="353"/>
      <c r="I326" s="354"/>
      <c r="J326" s="354"/>
      <c r="K326" s="355"/>
    </row>
    <row r="327" spans="2:11" s="1356" customFormat="1" outlineLevel="1" x14ac:dyDescent="0.25">
      <c r="B327" s="88" t="str">
        <f>IF(ISBLANK('N1. Demand'!B90),"",'N1. Demand'!B90)</f>
        <v>T71</v>
      </c>
      <c r="C327" s="354"/>
      <c r="D327" s="354"/>
      <c r="E327" s="354"/>
      <c r="F327" s="354"/>
      <c r="G327" s="442"/>
      <c r="H327" s="353"/>
      <c r="I327" s="354"/>
      <c r="J327" s="354"/>
      <c r="K327" s="355"/>
    </row>
    <row r="328" spans="2:11" s="1356" customFormat="1" outlineLevel="1" x14ac:dyDescent="0.25">
      <c r="B328" s="88" t="str">
        <f>IF(ISBLANK('N1. Demand'!B91),"",'N1. Demand'!B91)</f>
        <v>T72</v>
      </c>
      <c r="C328" s="354"/>
      <c r="D328" s="354"/>
      <c r="E328" s="354"/>
      <c r="F328" s="354"/>
      <c r="G328" s="442"/>
      <c r="H328" s="353"/>
      <c r="I328" s="354"/>
      <c r="J328" s="354"/>
      <c r="K328" s="355"/>
    </row>
    <row r="329" spans="2:11" s="1356" customFormat="1" outlineLevel="1" x14ac:dyDescent="0.25">
      <c r="B329" s="88" t="str">
        <f>IF(ISBLANK('N1. Demand'!B92),"",'N1. Demand'!B92)</f>
        <v>T73</v>
      </c>
      <c r="C329" s="354"/>
      <c r="D329" s="354"/>
      <c r="E329" s="354"/>
      <c r="F329" s="354"/>
      <c r="G329" s="442"/>
      <c r="H329" s="353"/>
      <c r="I329" s="354"/>
      <c r="J329" s="354"/>
      <c r="K329" s="355"/>
    </row>
    <row r="330" spans="2:11" s="1356" customFormat="1" outlineLevel="1" x14ac:dyDescent="0.25">
      <c r="B330" s="88" t="str">
        <f>IF(ISBLANK('N1. Demand'!B93),"",'N1. Demand'!B93)</f>
        <v>T74</v>
      </c>
      <c r="C330" s="354"/>
      <c r="D330" s="354"/>
      <c r="E330" s="354"/>
      <c r="F330" s="354"/>
      <c r="G330" s="442"/>
      <c r="H330" s="353"/>
      <c r="I330" s="354"/>
      <c r="J330" s="354"/>
      <c r="K330" s="355"/>
    </row>
    <row r="331" spans="2:11" outlineLevel="1" x14ac:dyDescent="0.25">
      <c r="B331" s="88" t="str">
        <f>IF(ISBLANK('N1. Demand'!B94),"",'N1. Demand'!B94)</f>
        <v>T75</v>
      </c>
      <c r="C331" s="354"/>
      <c r="D331" s="354"/>
      <c r="E331" s="354"/>
      <c r="F331" s="354"/>
      <c r="G331" s="395"/>
      <c r="H331" s="353"/>
      <c r="I331" s="354"/>
      <c r="J331" s="354"/>
      <c r="K331" s="355"/>
    </row>
    <row r="332" spans="2:11" ht="15.75" outlineLevel="1" thickBot="1" x14ac:dyDescent="0.3">
      <c r="B332" s="340" t="s">
        <v>640</v>
      </c>
      <c r="C332" s="340">
        <f t="shared" ref="C332:K332" si="82">SUM(C257:C331)</f>
        <v>1266</v>
      </c>
      <c r="D332" s="340">
        <f t="shared" si="82"/>
        <v>1290</v>
      </c>
      <c r="E332" s="340">
        <f t="shared" si="82"/>
        <v>1374</v>
      </c>
      <c r="F332" s="340">
        <f t="shared" si="82"/>
        <v>1612</v>
      </c>
      <c r="G332" s="340">
        <f t="shared" si="82"/>
        <v>1756</v>
      </c>
      <c r="H332" s="340">
        <f t="shared" si="82"/>
        <v>1556</v>
      </c>
      <c r="I332" s="340">
        <f t="shared" si="82"/>
        <v>1257</v>
      </c>
      <c r="J332" s="340">
        <f t="shared" si="82"/>
        <v>2101</v>
      </c>
      <c r="K332" s="340">
        <f t="shared" si="82"/>
        <v>1901</v>
      </c>
    </row>
  </sheetData>
  <mergeCells count="8">
    <mergeCell ref="C8:K8"/>
    <mergeCell ref="C173:K173"/>
    <mergeCell ref="C254:K254"/>
    <mergeCell ref="C255:K255"/>
    <mergeCell ref="C9:K9"/>
    <mergeCell ref="C90:K90"/>
    <mergeCell ref="C91:K91"/>
    <mergeCell ref="C172:K172"/>
  </mergeCells>
  <dataValidations xWindow="78" yWindow="463" count="1">
    <dataValidation allowBlank="1" showInputMessage="1" showErrorMessage="1" promptTitle="Tariff" prompt="For consistency in AER database, tariff names in this worksheet are populated from tariffs names entered in worksheet N1.2 Demand." sqref="B11:B85 B93:B167 B175:B249 B257:B331"/>
  </dataValidations>
  <pageMargins left="0.7" right="0.7" top="0.75" bottom="0.75" header="0.3" footer="0.3"/>
  <pageSetup orientation="portrait" horizontalDpi="90" verticalDpi="90" r:id="rId1"/>
  <customProperties>
    <customPr name="_pios_id" r:id="rId2"/>
    <customPr name="EpmWorksheetKeyString_GUID" r:id="rId3"/>
  </customProperties>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249977111117893"/>
  </sheetPr>
  <dimension ref="A1:K16"/>
  <sheetViews>
    <sheetView showGridLines="0" zoomScale="80" zoomScaleNormal="80" workbookViewId="0">
      <selection activeCell="A2" sqref="A2"/>
    </sheetView>
  </sheetViews>
  <sheetFormatPr defaultColWidth="9.140625" defaultRowHeight="15" x14ac:dyDescent="0.25"/>
  <cols>
    <col min="1" max="1" width="21" style="487" customWidth="1"/>
    <col min="2" max="2" width="52" style="487" customWidth="1"/>
    <col min="3" max="3" width="20.7109375" style="487" customWidth="1"/>
    <col min="4" max="4" width="20.7109375" style="1294" customWidth="1"/>
    <col min="5" max="11" width="20.7109375" style="487" customWidth="1"/>
    <col min="12" max="16384" width="9.140625" style="487"/>
  </cols>
  <sheetData>
    <row r="1" spans="1:11" ht="30" customHeight="1" x14ac:dyDescent="0.25">
      <c r="B1" s="103" t="str">
        <f>IF(dms_MultiYear_ResponseFlag="Yes","REGULATORY REPORTING STATEMENT - HISTORICAL INFORMATION",INDEX(dms_Worksheet_List,MATCH(dms_Model,dms_Model_List)))</f>
        <v>REGULATORY REPORTING STATEMENT - HISTORICAL INFORMATION</v>
      </c>
      <c r="C1" s="76"/>
      <c r="D1" s="76"/>
      <c r="E1" s="76"/>
      <c r="F1" s="76"/>
      <c r="G1" s="76"/>
      <c r="H1" s="76"/>
      <c r="I1" s="76"/>
      <c r="J1" s="76"/>
      <c r="K1" s="76"/>
    </row>
    <row r="2" spans="1:11" ht="30" customHeight="1" x14ac:dyDescent="0.25">
      <c r="B2" s="103" t="str">
        <f>INDEX(dms_TradingNameFull_List,MATCH(dms_TradingName,dms_TradingName_List))</f>
        <v>AusNet Gas Services</v>
      </c>
      <c r="C2" s="76"/>
      <c r="D2" s="76"/>
      <c r="E2" s="76"/>
      <c r="F2" s="76"/>
      <c r="G2" s="76"/>
      <c r="H2" s="76"/>
      <c r="I2" s="76"/>
      <c r="J2" s="76"/>
      <c r="K2" s="76"/>
    </row>
    <row r="3" spans="1:11" ht="30" customHeight="1" x14ac:dyDescent="0.25">
      <c r="B3" s="103" t="str">
        <f>CONCATENATE(CRY," to ",dms_MultiYear_FinalYear_Result)</f>
        <v>2011 to 2019</v>
      </c>
      <c r="C3" s="76"/>
      <c r="D3" s="76"/>
      <c r="E3" s="76"/>
      <c r="F3" s="76"/>
      <c r="G3" s="76"/>
      <c r="H3" s="76"/>
      <c r="I3" s="76"/>
      <c r="J3" s="76"/>
      <c r="K3" s="76"/>
    </row>
    <row r="4" spans="1:11" ht="30" customHeight="1" x14ac:dyDescent="0.25">
      <c r="B4" s="83" t="s">
        <v>744</v>
      </c>
      <c r="C4" s="323"/>
      <c r="D4" s="323"/>
      <c r="E4" s="323"/>
      <c r="F4" s="323"/>
      <c r="G4" s="323"/>
      <c r="H4" s="323"/>
      <c r="I4" s="323"/>
      <c r="J4" s="323"/>
      <c r="K4" s="323"/>
    </row>
    <row r="6" spans="1:11" ht="15.75" thickBot="1" x14ac:dyDescent="0.3"/>
    <row r="7" spans="1:11" s="516" customFormat="1" ht="36" customHeight="1" thickBot="1" x14ac:dyDescent="0.3">
      <c r="A7" s="514"/>
      <c r="B7" s="84" t="s">
        <v>814</v>
      </c>
      <c r="C7" s="84"/>
      <c r="D7" s="84"/>
      <c r="E7" s="84"/>
      <c r="F7" s="84"/>
      <c r="G7" s="84"/>
      <c r="H7" s="84"/>
      <c r="I7" s="84"/>
      <c r="J7" s="84"/>
      <c r="K7" s="84"/>
    </row>
    <row r="8" spans="1:11" s="516" customFormat="1" x14ac:dyDescent="0.25">
      <c r="A8" s="514"/>
      <c r="B8" s="514"/>
      <c r="C8" s="1669" t="s">
        <v>701</v>
      </c>
      <c r="D8" s="1686"/>
      <c r="E8" s="1670"/>
      <c r="F8" s="1670"/>
      <c r="G8" s="1670"/>
      <c r="H8" s="1670"/>
      <c r="I8" s="1670"/>
      <c r="J8" s="1670"/>
      <c r="K8" s="1671"/>
    </row>
    <row r="9" spans="1:11" s="516" customFormat="1" x14ac:dyDescent="0.25">
      <c r="A9" s="514"/>
      <c r="B9" s="514"/>
      <c r="C9" s="1672" t="s">
        <v>181</v>
      </c>
      <c r="D9" s="1679"/>
      <c r="E9" s="1673"/>
      <c r="F9" s="1673"/>
      <c r="G9" s="1673"/>
      <c r="H9" s="1673"/>
      <c r="I9" s="1673"/>
      <c r="J9" s="1673"/>
      <c r="K9" s="1674"/>
    </row>
    <row r="10" spans="1:11" s="516" customFormat="1" ht="15.75" thickBot="1" x14ac:dyDescent="0.3">
      <c r="A10" s="514"/>
      <c r="B10" s="514"/>
      <c r="C10" s="424">
        <f ca="1">dms_y1</f>
        <v>2011</v>
      </c>
      <c r="D10" s="425">
        <f ca="1">dms_y2</f>
        <v>2012</v>
      </c>
      <c r="E10" s="425">
        <f ca="1">dms_y3</f>
        <v>2013</v>
      </c>
      <c r="F10" s="425">
        <f ca="1">dms_y4</f>
        <v>2014</v>
      </c>
      <c r="G10" s="425">
        <f ca="1">dms_y5</f>
        <v>2015</v>
      </c>
      <c r="H10" s="426">
        <f ca="1">dms_y6</f>
        <v>2016</v>
      </c>
      <c r="I10" s="426">
        <f ca="1">dms_y7</f>
        <v>2017</v>
      </c>
      <c r="J10" s="426">
        <f ca="1">dms_y8</f>
        <v>2018</v>
      </c>
      <c r="K10" s="427">
        <f ca="1">dms_y9</f>
        <v>2019</v>
      </c>
    </row>
    <row r="11" spans="1:11" s="516" customFormat="1" x14ac:dyDescent="0.25">
      <c r="B11" s="388" t="s">
        <v>740</v>
      </c>
      <c r="C11" s="1406">
        <v>0</v>
      </c>
      <c r="D11" s="1406">
        <v>0</v>
      </c>
      <c r="E11" s="1417">
        <v>23</v>
      </c>
      <c r="F11" s="1417">
        <v>29</v>
      </c>
      <c r="G11" s="1505">
        <v>19</v>
      </c>
      <c r="H11" s="1506">
        <v>2</v>
      </c>
      <c r="I11" s="1417">
        <v>4</v>
      </c>
      <c r="J11" s="1417">
        <v>12</v>
      </c>
      <c r="K11" s="1418">
        <v>12</v>
      </c>
    </row>
    <row r="12" spans="1:11" s="516" customFormat="1" x14ac:dyDescent="0.25">
      <c r="B12" s="389" t="s">
        <v>741</v>
      </c>
      <c r="C12" s="1406">
        <v>0</v>
      </c>
      <c r="D12" s="1406">
        <v>0</v>
      </c>
      <c r="E12" s="1396">
        <v>23</v>
      </c>
      <c r="F12" s="1396">
        <v>29</v>
      </c>
      <c r="G12" s="1405">
        <v>19</v>
      </c>
      <c r="H12" s="1404">
        <v>2</v>
      </c>
      <c r="I12" s="1396">
        <v>4</v>
      </c>
      <c r="J12" s="1396">
        <v>12</v>
      </c>
      <c r="K12" s="1397">
        <v>12</v>
      </c>
    </row>
    <row r="13" spans="1:11" s="522" customFormat="1" x14ac:dyDescent="0.25">
      <c r="B13" s="389" t="s">
        <v>779</v>
      </c>
      <c r="C13" s="1406">
        <v>0</v>
      </c>
      <c r="D13" s="1406">
        <v>0</v>
      </c>
      <c r="E13" s="1396">
        <v>0</v>
      </c>
      <c r="F13" s="1396">
        <v>0</v>
      </c>
      <c r="G13" s="1405">
        <v>0</v>
      </c>
      <c r="H13" s="1404">
        <v>0</v>
      </c>
      <c r="I13" s="1396">
        <v>0</v>
      </c>
      <c r="J13" s="1396">
        <v>0</v>
      </c>
      <c r="K13" s="1397">
        <v>0</v>
      </c>
    </row>
    <row r="14" spans="1:11" s="516" customFormat="1" x14ac:dyDescent="0.25">
      <c r="B14" s="389" t="s">
        <v>742</v>
      </c>
      <c r="C14" s="1406">
        <v>0</v>
      </c>
      <c r="D14" s="1406">
        <v>0</v>
      </c>
      <c r="E14" s="1396">
        <v>12</v>
      </c>
      <c r="F14" s="1396">
        <v>28</v>
      </c>
      <c r="G14" s="1405">
        <v>20</v>
      </c>
      <c r="H14" s="1404">
        <v>25</v>
      </c>
      <c r="I14" s="1396">
        <v>20</v>
      </c>
      <c r="J14" s="1396">
        <v>21</v>
      </c>
      <c r="K14" s="1397">
        <v>20</v>
      </c>
    </row>
    <row r="15" spans="1:11" s="516" customFormat="1" ht="15.75" thickBot="1" x14ac:dyDescent="0.3">
      <c r="B15" s="390" t="s">
        <v>743</v>
      </c>
      <c r="C15" s="1402">
        <v>0</v>
      </c>
      <c r="D15" s="1402">
        <v>0</v>
      </c>
      <c r="E15" s="1400">
        <v>19</v>
      </c>
      <c r="F15" s="1400">
        <v>28</v>
      </c>
      <c r="G15" s="1401">
        <v>18</v>
      </c>
      <c r="H15" s="1399">
        <v>11</v>
      </c>
      <c r="I15" s="1400">
        <v>14</v>
      </c>
      <c r="J15" s="1400">
        <v>15</v>
      </c>
      <c r="K15" s="1403">
        <v>64</v>
      </c>
    </row>
    <row r="16" spans="1:11" s="516" customFormat="1" ht="12.75" x14ac:dyDescent="0.2">
      <c r="D16" s="522"/>
      <c r="E16" s="517"/>
      <c r="F16" s="517"/>
      <c r="G16" s="517"/>
      <c r="H16" s="517"/>
      <c r="I16" s="517"/>
      <c r="J16" s="517"/>
      <c r="K16" s="517"/>
    </row>
  </sheetData>
  <mergeCells count="2">
    <mergeCell ref="C8:K8"/>
    <mergeCell ref="C9:K9"/>
  </mergeCells>
  <pageMargins left="0.7" right="0.7" top="0.75" bottom="0.75" header="0.3" footer="0.3"/>
  <pageSetup paperSize="9" orientation="portrait" verticalDpi="0" r:id="rId1"/>
  <customProperties>
    <customPr name="_pios_id" r:id="rId2"/>
    <customPr name="EpmWorksheetKeyString_GUID" r:id="rId3"/>
  </customProperties>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9" tint="-0.249977111117893"/>
  </sheetPr>
  <dimension ref="A1:L321"/>
  <sheetViews>
    <sheetView showGridLines="0" zoomScale="80" zoomScaleNormal="80" workbookViewId="0">
      <selection activeCell="A2" sqref="A2"/>
    </sheetView>
  </sheetViews>
  <sheetFormatPr defaultColWidth="9.140625" defaultRowHeight="15" outlineLevelRow="2" x14ac:dyDescent="0.25"/>
  <cols>
    <col min="1" max="1" width="22.7109375" style="487" customWidth="1"/>
    <col min="2" max="2" width="62" style="487" customWidth="1"/>
    <col min="3" max="8" width="20.7109375" style="487" customWidth="1"/>
    <col min="9" max="9" width="20.7109375" style="1294" customWidth="1"/>
    <col min="10" max="11" width="20.7109375" style="487" customWidth="1"/>
    <col min="12" max="16384" width="9.140625" style="487"/>
  </cols>
  <sheetData>
    <row r="1" spans="1:11" ht="30.95" customHeight="1" x14ac:dyDescent="0.25">
      <c r="B1" s="103" t="str">
        <f>IF(dms_MultiYear_ResponseFlag="Yes","REGULATORY REPORTING STATEMENT - HISTORICAL INFORMATION",INDEX(dms_Worksheet_List,MATCH(dms_Model,dms_Model_List)))</f>
        <v>REGULATORY REPORTING STATEMENT - HISTORICAL INFORMATION</v>
      </c>
      <c r="C1" s="76"/>
      <c r="D1" s="76"/>
      <c r="E1" s="76"/>
      <c r="F1" s="76"/>
      <c r="G1" s="76"/>
      <c r="H1" s="76"/>
      <c r="I1" s="76"/>
      <c r="J1" s="76"/>
      <c r="K1" s="76"/>
    </row>
    <row r="2" spans="1:11" ht="30.95" customHeight="1" x14ac:dyDescent="0.25">
      <c r="B2" s="103" t="str">
        <f>INDEX(dms_TradingNameFull_List,MATCH(dms_TradingName,dms_TradingName_List))</f>
        <v>AusNet Gas Services</v>
      </c>
      <c r="C2" s="76"/>
      <c r="D2" s="76"/>
      <c r="E2" s="76"/>
      <c r="F2" s="76"/>
      <c r="G2" s="76"/>
      <c r="H2" s="76"/>
      <c r="I2" s="76"/>
      <c r="J2" s="76"/>
      <c r="K2" s="76"/>
    </row>
    <row r="3" spans="1:11" ht="30.95" customHeight="1" x14ac:dyDescent="0.25">
      <c r="B3" s="103" t="str">
        <f>CONCATENATE(CRY," to ",dms_MultiYear_FinalYear_Result)</f>
        <v>2011 to 2019</v>
      </c>
      <c r="C3" s="76"/>
      <c r="D3" s="76"/>
      <c r="E3" s="76"/>
      <c r="F3" s="76"/>
      <c r="G3" s="76"/>
      <c r="H3" s="76"/>
      <c r="I3" s="76"/>
      <c r="J3" s="76"/>
      <c r="K3" s="76"/>
    </row>
    <row r="4" spans="1:11" ht="30.95" customHeight="1" x14ac:dyDescent="0.25">
      <c r="B4" s="83" t="s">
        <v>739</v>
      </c>
      <c r="C4" s="323"/>
      <c r="D4" s="323"/>
      <c r="E4" s="323"/>
      <c r="F4" s="323"/>
      <c r="G4" s="323"/>
      <c r="H4" s="323"/>
      <c r="I4" s="323"/>
      <c r="J4" s="323"/>
      <c r="K4" s="323"/>
    </row>
    <row r="6" spans="1:11" ht="15.75" thickBot="1" x14ac:dyDescent="0.3"/>
    <row r="7" spans="1:11" s="514" customFormat="1" ht="27.95" customHeight="1" thickBot="1" x14ac:dyDescent="0.3">
      <c r="A7" s="487"/>
      <c r="B7" s="84" t="s">
        <v>815</v>
      </c>
      <c r="C7" s="84"/>
      <c r="D7" s="84"/>
      <c r="E7" s="84"/>
      <c r="F7" s="84"/>
      <c r="G7" s="84"/>
      <c r="H7" s="84"/>
      <c r="I7" s="84"/>
      <c r="J7" s="84"/>
      <c r="K7" s="84"/>
    </row>
    <row r="8" spans="1:11" ht="21.75" customHeight="1" outlineLevel="1" thickBot="1" x14ac:dyDescent="0.3">
      <c r="B8" s="308" t="s">
        <v>816</v>
      </c>
      <c r="C8" s="309"/>
      <c r="D8" s="309"/>
      <c r="E8" s="309"/>
      <c r="F8" s="309"/>
      <c r="G8" s="309"/>
      <c r="H8" s="309"/>
      <c r="I8" s="309"/>
      <c r="J8" s="309"/>
      <c r="K8" s="310"/>
    </row>
    <row r="9" spans="1:11" s="514" customFormat="1" outlineLevel="2" x14ac:dyDescent="0.25">
      <c r="A9" s="487"/>
      <c r="B9" s="487"/>
      <c r="C9" s="1669" t="s">
        <v>701</v>
      </c>
      <c r="D9" s="1670"/>
      <c r="E9" s="1670"/>
      <c r="F9" s="1670"/>
      <c r="G9" s="1670"/>
      <c r="H9" s="1670"/>
      <c r="I9" s="1670"/>
      <c r="J9" s="1670"/>
      <c r="K9" s="1671"/>
    </row>
    <row r="10" spans="1:11" s="514" customFormat="1" outlineLevel="2" x14ac:dyDescent="0.25">
      <c r="A10" s="487"/>
      <c r="B10" s="487"/>
      <c r="C10" s="1672" t="s">
        <v>181</v>
      </c>
      <c r="D10" s="1673"/>
      <c r="E10" s="1673"/>
      <c r="F10" s="1673"/>
      <c r="G10" s="1673"/>
      <c r="H10" s="1673"/>
      <c r="I10" s="1673"/>
      <c r="J10" s="1673"/>
      <c r="K10" s="1674"/>
    </row>
    <row r="11" spans="1:11" s="514" customFormat="1" ht="15.75" outlineLevel="2" thickBot="1" x14ac:dyDescent="0.3">
      <c r="A11" s="487"/>
      <c r="B11" s="130"/>
      <c r="C11" s="424">
        <f ca="1">dms_y1</f>
        <v>2011</v>
      </c>
      <c r="D11" s="425">
        <f ca="1">dms_y2</f>
        <v>2012</v>
      </c>
      <c r="E11" s="425">
        <f ca="1">dms_y3</f>
        <v>2013</v>
      </c>
      <c r="F11" s="425">
        <f ca="1">dms_y4</f>
        <v>2014</v>
      </c>
      <c r="G11" s="425">
        <f ca="1">dms_y5</f>
        <v>2015</v>
      </c>
      <c r="H11" s="426">
        <f ca="1">dms_y6</f>
        <v>2016</v>
      </c>
      <c r="I11" s="426">
        <f ca="1">dms_y7</f>
        <v>2017</v>
      </c>
      <c r="J11" s="426">
        <f ca="1">dms_y8</f>
        <v>2018</v>
      </c>
      <c r="K11" s="427">
        <f ca="1">dms_y9</f>
        <v>2019</v>
      </c>
    </row>
    <row r="12" spans="1:11" s="512" customFormat="1" outlineLevel="2" x14ac:dyDescent="0.25">
      <c r="A12" s="487"/>
      <c r="B12" s="620" t="s">
        <v>737</v>
      </c>
      <c r="C12" s="1417">
        <v>135</v>
      </c>
      <c r="D12" s="1417">
        <v>119</v>
      </c>
      <c r="E12" s="1417">
        <v>143</v>
      </c>
      <c r="F12" s="1417">
        <v>198</v>
      </c>
      <c r="G12" s="1419">
        <v>254</v>
      </c>
      <c r="H12" s="1416">
        <v>249</v>
      </c>
      <c r="I12" s="1417">
        <v>246</v>
      </c>
      <c r="J12" s="1417">
        <v>311</v>
      </c>
      <c r="K12" s="1418">
        <v>291</v>
      </c>
    </row>
    <row r="13" spans="1:11" s="512" customFormat="1" outlineLevel="2" x14ac:dyDescent="0.25">
      <c r="A13" s="487"/>
      <c r="B13" s="88" t="s">
        <v>738</v>
      </c>
      <c r="C13" s="1396">
        <v>130</v>
      </c>
      <c r="D13" s="1396">
        <v>117</v>
      </c>
      <c r="E13" s="1396">
        <v>143</v>
      </c>
      <c r="F13" s="1396">
        <v>196</v>
      </c>
      <c r="G13" s="1420">
        <v>237</v>
      </c>
      <c r="H13" s="1406">
        <v>237</v>
      </c>
      <c r="I13" s="1396">
        <v>233</v>
      </c>
      <c r="J13" s="1396">
        <v>290</v>
      </c>
      <c r="K13" s="1397">
        <v>274</v>
      </c>
    </row>
    <row r="14" spans="1:11" s="512" customFormat="1" ht="15.75" outlineLevel="2" thickBot="1" x14ac:dyDescent="0.3">
      <c r="A14" s="487"/>
      <c r="B14" s="623" t="s">
        <v>890</v>
      </c>
      <c r="C14" s="1400">
        <v>4</v>
      </c>
      <c r="D14" s="1400">
        <v>1</v>
      </c>
      <c r="E14" s="1400">
        <v>3</v>
      </c>
      <c r="F14" s="1400">
        <v>3</v>
      </c>
      <c r="G14" s="1421">
        <v>9</v>
      </c>
      <c r="H14" s="1402">
        <v>7</v>
      </c>
      <c r="I14" s="1400">
        <v>8</v>
      </c>
      <c r="J14" s="1400">
        <v>8</v>
      </c>
      <c r="K14" s="1403">
        <v>4</v>
      </c>
    </row>
    <row r="15" spans="1:11" ht="15.75" outlineLevel="1" thickBot="1" x14ac:dyDescent="0.3"/>
    <row r="16" spans="1:11" s="514" customFormat="1" ht="21" customHeight="1" outlineLevel="1" thickBot="1" x14ac:dyDescent="0.3">
      <c r="B16" s="308" t="s">
        <v>817</v>
      </c>
      <c r="C16" s="309"/>
      <c r="D16" s="309"/>
      <c r="E16" s="309"/>
      <c r="F16" s="309"/>
      <c r="G16" s="309"/>
      <c r="H16" s="309"/>
      <c r="I16" s="309"/>
      <c r="J16" s="309"/>
      <c r="K16" s="310"/>
    </row>
    <row r="17" spans="1:12" s="514" customFormat="1" outlineLevel="2" x14ac:dyDescent="0.25">
      <c r="A17" s="487"/>
      <c r="B17" s="487"/>
      <c r="C17" s="1669" t="s">
        <v>701</v>
      </c>
      <c r="D17" s="1670"/>
      <c r="E17" s="1670"/>
      <c r="F17" s="1670"/>
      <c r="G17" s="1670"/>
      <c r="H17" s="1670"/>
      <c r="I17" s="1670"/>
      <c r="J17" s="1670"/>
      <c r="K17" s="1671"/>
    </row>
    <row r="18" spans="1:12" s="514" customFormat="1" outlineLevel="2" x14ac:dyDescent="0.25">
      <c r="A18" s="487"/>
      <c r="B18" s="487"/>
      <c r="C18" s="1672" t="s">
        <v>181</v>
      </c>
      <c r="D18" s="1673"/>
      <c r="E18" s="1673"/>
      <c r="F18" s="1673"/>
      <c r="G18" s="1673"/>
      <c r="H18" s="1673"/>
      <c r="I18" s="1673"/>
      <c r="J18" s="1673"/>
      <c r="K18" s="1674"/>
    </row>
    <row r="19" spans="1:12" s="514" customFormat="1" ht="15.75" outlineLevel="2" thickBot="1" x14ac:dyDescent="0.3">
      <c r="A19" s="487"/>
      <c r="B19" s="452"/>
      <c r="C19" s="424">
        <f ca="1">dms_y1</f>
        <v>2011</v>
      </c>
      <c r="D19" s="425">
        <f ca="1">dms_y2</f>
        <v>2012</v>
      </c>
      <c r="E19" s="425">
        <f ca="1">dms_y3</f>
        <v>2013</v>
      </c>
      <c r="F19" s="425">
        <f ca="1">dms_y4</f>
        <v>2014</v>
      </c>
      <c r="G19" s="425">
        <f ca="1">dms_y5</f>
        <v>2015</v>
      </c>
      <c r="H19" s="426">
        <f ca="1">dms_y6</f>
        <v>2016</v>
      </c>
      <c r="I19" s="426">
        <f ca="1">dms_y7</f>
        <v>2017</v>
      </c>
      <c r="J19" s="426">
        <f ca="1">dms_y8</f>
        <v>2018</v>
      </c>
      <c r="K19" s="427">
        <f ca="1">dms_y9</f>
        <v>2019</v>
      </c>
    </row>
    <row r="20" spans="1:12" s="512" customFormat="1" outlineLevel="2" x14ac:dyDescent="0.25">
      <c r="A20" s="487"/>
      <c r="B20" s="88" t="s">
        <v>737</v>
      </c>
      <c r="C20" s="1417">
        <v>0</v>
      </c>
      <c r="D20" s="1417">
        <v>16</v>
      </c>
      <c r="E20" s="1417">
        <v>9170</v>
      </c>
      <c r="F20" s="1417">
        <v>13558</v>
      </c>
      <c r="G20" s="1419">
        <v>14657</v>
      </c>
      <c r="H20" s="1416">
        <v>15374</v>
      </c>
      <c r="I20" s="1417">
        <v>16102</v>
      </c>
      <c r="J20" s="1417">
        <v>18906</v>
      </c>
      <c r="K20" s="1418">
        <v>18464</v>
      </c>
    </row>
    <row r="21" spans="1:12" s="512" customFormat="1" outlineLevel="2" x14ac:dyDescent="0.25">
      <c r="A21" s="487"/>
      <c r="B21" s="88" t="s">
        <v>738</v>
      </c>
      <c r="C21" s="1396">
        <v>0</v>
      </c>
      <c r="D21" s="1396">
        <v>0</v>
      </c>
      <c r="E21" s="1396">
        <v>12</v>
      </c>
      <c r="F21" s="1396">
        <v>28</v>
      </c>
      <c r="G21" s="1420">
        <v>20</v>
      </c>
      <c r="H21" s="1406">
        <v>25</v>
      </c>
      <c r="I21" s="1396">
        <v>20</v>
      </c>
      <c r="J21" s="1396">
        <v>21</v>
      </c>
      <c r="K21" s="1397">
        <v>20</v>
      </c>
    </row>
    <row r="22" spans="1:12" s="512" customFormat="1" ht="15.75" outlineLevel="2" thickBot="1" x14ac:dyDescent="0.3">
      <c r="A22" s="487"/>
      <c r="B22" s="623" t="s">
        <v>890</v>
      </c>
      <c r="C22" s="1400">
        <v>0</v>
      </c>
      <c r="D22" s="1400">
        <v>0</v>
      </c>
      <c r="E22" s="1400">
        <v>19</v>
      </c>
      <c r="F22" s="1400">
        <v>28</v>
      </c>
      <c r="G22" s="1400">
        <v>18</v>
      </c>
      <c r="H22" s="1400">
        <v>11</v>
      </c>
      <c r="I22" s="1400">
        <v>14</v>
      </c>
      <c r="J22" s="1400">
        <v>15</v>
      </c>
      <c r="K22" s="1403">
        <v>64</v>
      </c>
    </row>
    <row r="23" spans="1:12" outlineLevel="1" x14ac:dyDescent="0.25"/>
    <row r="25" spans="1:12" s="512" customFormat="1" ht="13.5" thickBot="1" x14ac:dyDescent="0.25">
      <c r="I25" s="522"/>
    </row>
    <row r="26" spans="1:12" ht="27.95" customHeight="1" thickBot="1" x14ac:dyDescent="0.3">
      <c r="A26" s="400"/>
      <c r="B26" s="84" t="s">
        <v>818</v>
      </c>
      <c r="C26" s="84"/>
      <c r="D26" s="84"/>
      <c r="E26" s="84"/>
      <c r="F26" s="84"/>
      <c r="G26" s="84"/>
      <c r="H26" s="84"/>
      <c r="I26" s="84"/>
      <c r="J26" s="84"/>
      <c r="K26" s="84"/>
    </row>
    <row r="27" spans="1:12" s="515" customFormat="1" ht="25.5" customHeight="1" outlineLevel="1" thickBot="1" x14ac:dyDescent="0.3">
      <c r="B27" s="308" t="s">
        <v>819</v>
      </c>
      <c r="C27" s="309"/>
      <c r="D27" s="309"/>
      <c r="E27" s="309"/>
      <c r="F27" s="309"/>
      <c r="G27" s="309"/>
      <c r="H27" s="309"/>
      <c r="I27" s="309"/>
      <c r="J27" s="309"/>
      <c r="K27" s="310"/>
      <c r="L27" s="432"/>
    </row>
    <row r="28" spans="1:12" s="91" customFormat="1" ht="24" customHeight="1" outlineLevel="2" x14ac:dyDescent="0.25">
      <c r="A28" s="493"/>
      <c r="B28" s="487"/>
      <c r="C28" s="1669" t="s">
        <v>701</v>
      </c>
      <c r="D28" s="1670"/>
      <c r="E28" s="1670"/>
      <c r="F28" s="1670"/>
      <c r="G28" s="1670"/>
      <c r="H28" s="1670"/>
      <c r="I28" s="1670"/>
      <c r="J28" s="1670"/>
      <c r="K28" s="1671"/>
      <c r="L28" s="487"/>
    </row>
    <row r="29" spans="1:12" s="91" customFormat="1" ht="24.75" customHeight="1" outlineLevel="2" x14ac:dyDescent="0.25">
      <c r="A29" s="493"/>
      <c r="B29" s="487"/>
      <c r="C29" s="1672" t="s">
        <v>783</v>
      </c>
      <c r="D29" s="1673"/>
      <c r="E29" s="1673"/>
      <c r="F29" s="1673"/>
      <c r="G29" s="1673"/>
      <c r="H29" s="1673"/>
      <c r="I29" s="1673"/>
      <c r="J29" s="1673"/>
      <c r="K29" s="1674"/>
      <c r="L29" s="487"/>
    </row>
    <row r="30" spans="1:12" s="91" customFormat="1" ht="18" customHeight="1" outlineLevel="2" thickBot="1" x14ac:dyDescent="0.3">
      <c r="A30" s="399"/>
      <c r="B30" s="504"/>
      <c r="C30" s="424">
        <f ca="1">dms_y1</f>
        <v>2011</v>
      </c>
      <c r="D30" s="425">
        <f ca="1">dms_y2</f>
        <v>2012</v>
      </c>
      <c r="E30" s="425">
        <f ca="1">dms_y3</f>
        <v>2013</v>
      </c>
      <c r="F30" s="425">
        <f ca="1">dms_y4</f>
        <v>2014</v>
      </c>
      <c r="G30" s="425">
        <f ca="1">dms_y5</f>
        <v>2015</v>
      </c>
      <c r="H30" s="426">
        <f ca="1">dms_y6</f>
        <v>2016</v>
      </c>
      <c r="I30" s="426">
        <f ca="1">dms_y7</f>
        <v>2017</v>
      </c>
      <c r="J30" s="426">
        <f ca="1">dms_y8</f>
        <v>2018</v>
      </c>
      <c r="K30" s="427">
        <f ca="1">dms_y9</f>
        <v>2019</v>
      </c>
      <c r="L30" s="487"/>
    </row>
    <row r="31" spans="1:12" s="462" customFormat="1" outlineLevel="2" x14ac:dyDescent="0.25">
      <c r="B31" s="464" t="s">
        <v>712</v>
      </c>
      <c r="C31" s="465"/>
      <c r="D31" s="465"/>
      <c r="E31" s="465"/>
      <c r="F31" s="465"/>
      <c r="G31" s="465"/>
      <c r="H31" s="465"/>
      <c r="I31" s="465"/>
      <c r="J31" s="465"/>
      <c r="K31" s="466"/>
      <c r="L31" s="487"/>
    </row>
    <row r="32" spans="1:12" s="462" customFormat="1" outlineLevel="2" x14ac:dyDescent="0.25">
      <c r="B32" s="88" t="s">
        <v>727</v>
      </c>
      <c r="C32" s="1499">
        <v>0.19720279353385237</v>
      </c>
      <c r="D32" s="1499">
        <v>0.23961011993095513</v>
      </c>
      <c r="E32" s="1499">
        <v>0.27370172910991086</v>
      </c>
      <c r="F32" s="1499">
        <v>0.28855643145272886</v>
      </c>
      <c r="G32" s="1500">
        <v>0.11401818464179291</v>
      </c>
      <c r="H32" s="1501">
        <v>0.12297421933330406</v>
      </c>
      <c r="I32" s="1501">
        <v>0.10135135135135136</v>
      </c>
      <c r="J32" s="1499">
        <v>0.10333496372942774</v>
      </c>
      <c r="K32" s="1502">
        <v>0.1104700073929928</v>
      </c>
      <c r="L32" s="487"/>
    </row>
    <row r="33" spans="2:12" s="462" customFormat="1" outlineLevel="2" x14ac:dyDescent="0.25">
      <c r="B33" s="88" t="s">
        <v>728</v>
      </c>
      <c r="C33" s="1396">
        <v>0.14444999837773434</v>
      </c>
      <c r="D33" s="1396">
        <v>0.17551313962179582</v>
      </c>
      <c r="E33" s="1396">
        <v>0.2004850621911845</v>
      </c>
      <c r="F33" s="1396">
        <v>0.21136605272316417</v>
      </c>
      <c r="G33" s="1420">
        <v>8.3517714386292047E-2</v>
      </c>
      <c r="H33" s="1406">
        <v>0.15371777416663007</v>
      </c>
      <c r="I33" s="1406">
        <v>6.1936936936936936E-2</v>
      </c>
      <c r="J33" s="1396">
        <v>8.9556968565504033E-2</v>
      </c>
      <c r="K33" s="1397">
        <v>1.6995385752768124E-2</v>
      </c>
      <c r="L33" s="487"/>
    </row>
    <row r="34" spans="2:12" s="462" customFormat="1" outlineLevel="2" x14ac:dyDescent="0.25">
      <c r="B34" s="88" t="s">
        <v>729</v>
      </c>
      <c r="C34" s="1396">
        <v>0.47796454913062636</v>
      </c>
      <c r="D34" s="1396">
        <v>0.58074807606756629</v>
      </c>
      <c r="E34" s="1396">
        <v>0.66337662467156944</v>
      </c>
      <c r="F34" s="1396">
        <v>0.69938027847648299</v>
      </c>
      <c r="G34" s="1420">
        <v>0.27634826687002284</v>
      </c>
      <c r="H34" s="1406">
        <v>0.26790812069041242</v>
      </c>
      <c r="I34" s="1406">
        <v>0.48423423423423423</v>
      </c>
      <c r="J34" s="1396">
        <v>0.15155794680316068</v>
      </c>
      <c r="K34" s="1397">
        <v>0.28042386492067406</v>
      </c>
      <c r="L34" s="487"/>
    </row>
    <row r="35" spans="2:12" s="462" customFormat="1" outlineLevel="2" x14ac:dyDescent="0.25">
      <c r="B35" s="88" t="s">
        <v>730</v>
      </c>
      <c r="C35" s="1396">
        <v>0</v>
      </c>
      <c r="D35" s="1396">
        <v>0</v>
      </c>
      <c r="E35" s="1396">
        <v>0</v>
      </c>
      <c r="F35" s="1396">
        <v>0</v>
      </c>
      <c r="G35" s="1420">
        <v>0</v>
      </c>
      <c r="H35" s="1406">
        <v>0</v>
      </c>
      <c r="I35" s="1406">
        <v>0</v>
      </c>
      <c r="J35" s="1396">
        <v>0</v>
      </c>
      <c r="K35" s="1397">
        <v>0</v>
      </c>
      <c r="L35" s="487"/>
    </row>
    <row r="36" spans="2:12" s="462" customFormat="1" outlineLevel="2" x14ac:dyDescent="0.25">
      <c r="B36" s="88" t="s">
        <v>731</v>
      </c>
      <c r="C36" s="1396">
        <v>1.0501245263640357</v>
      </c>
      <c r="D36" s="1396">
        <v>1.2759477652193107</v>
      </c>
      <c r="E36" s="1396">
        <v>1.4574889812462182</v>
      </c>
      <c r="F36" s="1396">
        <v>1.5365917514580036</v>
      </c>
      <c r="G36" s="1420">
        <v>0.60715819486246891</v>
      </c>
      <c r="H36" s="1406">
        <v>0.43040976766656419</v>
      </c>
      <c r="I36" s="1406">
        <v>1.2781531531531531</v>
      </c>
      <c r="J36" s="1396">
        <v>0.58556479446675713</v>
      </c>
      <c r="K36" s="1397">
        <v>0.43338233669558712</v>
      </c>
      <c r="L36" s="487"/>
    </row>
    <row r="37" spans="2:12" s="462" customFormat="1" outlineLevel="2" x14ac:dyDescent="0.25">
      <c r="B37" s="88" t="s">
        <v>732</v>
      </c>
      <c r="C37" s="1396">
        <v>0</v>
      </c>
      <c r="D37" s="1396">
        <v>0</v>
      </c>
      <c r="E37" s="1396">
        <v>0</v>
      </c>
      <c r="F37" s="1396">
        <v>0</v>
      </c>
      <c r="G37" s="1420">
        <v>0</v>
      </c>
      <c r="H37" s="1406">
        <v>0</v>
      </c>
      <c r="I37" s="1406">
        <v>0</v>
      </c>
      <c r="J37" s="1396">
        <v>0</v>
      </c>
      <c r="K37" s="1397">
        <v>0</v>
      </c>
      <c r="L37" s="521"/>
    </row>
    <row r="38" spans="2:12" s="462" customFormat="1" ht="15.75" outlineLevel="2" thickBot="1" x14ac:dyDescent="0.3">
      <c r="B38" s="88" t="s">
        <v>223</v>
      </c>
      <c r="C38" s="1400">
        <v>0.18779637003002189</v>
      </c>
      <c r="D38" s="1400">
        <v>0.22818089916037179</v>
      </c>
      <c r="E38" s="1400">
        <v>0.2606463644692647</v>
      </c>
      <c r="F38" s="1400">
        <v>0.27479250879038358</v>
      </c>
      <c r="G38" s="1421">
        <v>0.10857960381512459</v>
      </c>
      <c r="H38" s="1402">
        <v>7.4662918880934612E-2</v>
      </c>
      <c r="I38" s="1402">
        <v>0.21396396396396397</v>
      </c>
      <c r="J38" s="1400">
        <v>9.6445966147465881E-2</v>
      </c>
      <c r="K38" s="1403">
        <v>9.3474621640224673E-2</v>
      </c>
      <c r="L38" s="521"/>
    </row>
    <row r="39" spans="2:12" s="462" customFormat="1" outlineLevel="2" x14ac:dyDescent="0.25">
      <c r="B39" s="464" t="s">
        <v>713</v>
      </c>
      <c r="C39" s="465"/>
      <c r="D39" s="465"/>
      <c r="E39" s="465"/>
      <c r="F39" s="465"/>
      <c r="G39" s="465"/>
      <c r="H39" s="465"/>
      <c r="I39" s="465"/>
      <c r="J39" s="465"/>
      <c r="K39" s="466"/>
      <c r="L39" s="487"/>
    </row>
    <row r="40" spans="2:12" s="462" customFormat="1" outlineLevel="2" x14ac:dyDescent="0.25">
      <c r="B40" s="88" t="s">
        <v>727</v>
      </c>
      <c r="C40" s="1499">
        <v>1.8894962986742737E-2</v>
      </c>
      <c r="D40" s="1499">
        <v>2.1821955066146308E-2</v>
      </c>
      <c r="E40" s="1499">
        <v>2.5112347840872868E-2</v>
      </c>
      <c r="F40" s="1499">
        <v>3.0065670968586391E-2</v>
      </c>
      <c r="G40" s="1500">
        <v>1.0006994253404544E-2</v>
      </c>
      <c r="H40" s="1501">
        <v>1.2496251124662601E-2</v>
      </c>
      <c r="I40" s="1501">
        <v>2.772110352168899E-3</v>
      </c>
      <c r="J40" s="1499">
        <v>3.0540972241310332E-3</v>
      </c>
      <c r="K40" s="1502">
        <v>0</v>
      </c>
      <c r="L40" s="487"/>
    </row>
    <row r="41" spans="2:12" s="462" customFormat="1" outlineLevel="2" x14ac:dyDescent="0.25">
      <c r="B41" s="88" t="s">
        <v>728</v>
      </c>
      <c r="C41" s="1396">
        <v>2.3162232660800471E-2</v>
      </c>
      <c r="D41" s="1396">
        <v>2.6750261469696956E-2</v>
      </c>
      <c r="E41" s="1396">
        <v>3.0783761987644865E-2</v>
      </c>
      <c r="F41" s="1396">
        <v>3.6855751798300876E-2</v>
      </c>
      <c r="G41" s="1420">
        <v>1.2266990377026728E-2</v>
      </c>
      <c r="H41" s="1406">
        <v>7.4977506747975608E-3</v>
      </c>
      <c r="I41" s="1406">
        <v>5.544220704337798E-3</v>
      </c>
      <c r="J41" s="1396">
        <v>1.2216388896524133E-2</v>
      </c>
      <c r="K41" s="1397">
        <v>3.4448430166090691E-3</v>
      </c>
      <c r="L41" s="487"/>
    </row>
    <row r="42" spans="2:12" s="462" customFormat="1" outlineLevel="2" x14ac:dyDescent="0.25">
      <c r="B42" s="88" t="s">
        <v>729</v>
      </c>
      <c r="C42" s="1396">
        <v>9.8834936284443772E-2</v>
      </c>
      <c r="D42" s="1396">
        <v>0.11414531693329169</v>
      </c>
      <c r="E42" s="1396">
        <v>0.13135655785866782</v>
      </c>
      <c r="F42" s="1396">
        <v>0.15726618128938413</v>
      </c>
      <c r="G42" s="1420">
        <v>5.2344142728830596E-2</v>
      </c>
      <c r="H42" s="1406">
        <v>1.2496251124662601E-2</v>
      </c>
      <c r="I42" s="1406">
        <v>0.18850350394748513</v>
      </c>
      <c r="J42" s="1396">
        <v>6.1081944482620663E-3</v>
      </c>
      <c r="K42" s="1397">
        <v>5.1672645249136041E-2</v>
      </c>
      <c r="L42" s="487"/>
    </row>
    <row r="43" spans="2:12" s="462" customFormat="1" outlineLevel="2" x14ac:dyDescent="0.25">
      <c r="B43" s="88" t="s">
        <v>730</v>
      </c>
      <c r="C43" s="1396">
        <v>0</v>
      </c>
      <c r="D43" s="1396">
        <v>0</v>
      </c>
      <c r="E43" s="1396">
        <v>0</v>
      </c>
      <c r="F43" s="1396">
        <v>0</v>
      </c>
      <c r="G43" s="1420">
        <v>0</v>
      </c>
      <c r="H43" s="1406">
        <v>0</v>
      </c>
      <c r="I43" s="1406">
        <v>0</v>
      </c>
      <c r="J43" s="1396">
        <v>0</v>
      </c>
      <c r="K43" s="1397">
        <v>0</v>
      </c>
      <c r="L43" s="487"/>
    </row>
    <row r="44" spans="2:12" s="462" customFormat="1" outlineLevel="2" x14ac:dyDescent="0.25">
      <c r="B44" s="88" t="s">
        <v>731</v>
      </c>
      <c r="C44" s="1396">
        <v>0.51155564991588831</v>
      </c>
      <c r="D44" s="1396">
        <v>0.5908000144869392</v>
      </c>
      <c r="E44" s="1396">
        <v>0.67988296297087025</v>
      </c>
      <c r="F44" s="1396">
        <v>0.81398750890825844</v>
      </c>
      <c r="G44" s="1420">
        <v>0.27092587863742612</v>
      </c>
      <c r="H44" s="1406">
        <v>9.2472258322503248E-2</v>
      </c>
      <c r="I44" s="1406">
        <v>0.7068881398030693</v>
      </c>
      <c r="J44" s="1396">
        <v>0.18324583344786199</v>
      </c>
      <c r="K44" s="1397">
        <v>0.14123856368097185</v>
      </c>
      <c r="L44" s="487"/>
    </row>
    <row r="45" spans="2:12" s="462" customFormat="1" outlineLevel="2" x14ac:dyDescent="0.25">
      <c r="B45" s="88" t="s">
        <v>732</v>
      </c>
      <c r="C45" s="1396">
        <v>0</v>
      </c>
      <c r="D45" s="1396">
        <v>0</v>
      </c>
      <c r="E45" s="1396">
        <v>0</v>
      </c>
      <c r="F45" s="1396">
        <v>0</v>
      </c>
      <c r="G45" s="1420">
        <v>0</v>
      </c>
      <c r="H45" s="1406">
        <v>0</v>
      </c>
      <c r="I45" s="1406">
        <v>0</v>
      </c>
      <c r="J45" s="1396">
        <v>0</v>
      </c>
      <c r="K45" s="1397">
        <v>0</v>
      </c>
      <c r="L45" s="521"/>
    </row>
    <row r="46" spans="2:12" s="462" customFormat="1" ht="15.75" outlineLevel="2" thickBot="1" x14ac:dyDescent="0.3">
      <c r="B46" s="88" t="s">
        <v>223</v>
      </c>
      <c r="C46" s="1400">
        <v>0.10137802582263293</v>
      </c>
      <c r="D46" s="1400">
        <v>0.11708235288676182</v>
      </c>
      <c r="E46" s="1400">
        <v>0.1347364506437608</v>
      </c>
      <c r="F46" s="1400">
        <v>0.16131274615180255</v>
      </c>
      <c r="G46" s="1421">
        <v>5.3690992807997606E-2</v>
      </c>
      <c r="H46" s="1402">
        <v>2.2493252024392681E-2</v>
      </c>
      <c r="I46" s="1402">
        <v>0.12474496584760046</v>
      </c>
      <c r="J46" s="1400">
        <v>3.3595069465441364E-2</v>
      </c>
      <c r="K46" s="1403">
        <v>2.7558744132872553E-2</v>
      </c>
      <c r="L46" s="487"/>
    </row>
    <row r="47" spans="2:12" s="462" customFormat="1" outlineLevel="2" x14ac:dyDescent="0.25">
      <c r="B47" s="464" t="s">
        <v>714</v>
      </c>
      <c r="C47" s="465"/>
      <c r="D47" s="465"/>
      <c r="E47" s="465"/>
      <c r="F47" s="465"/>
      <c r="G47" s="465"/>
      <c r="H47" s="465"/>
      <c r="I47" s="465"/>
      <c r="J47" s="465"/>
      <c r="K47" s="466"/>
      <c r="L47" s="487"/>
    </row>
    <row r="48" spans="2:12" s="462" customFormat="1" outlineLevel="2" x14ac:dyDescent="0.25">
      <c r="B48" s="88" t="s">
        <v>727</v>
      </c>
      <c r="C48" s="1499">
        <v>0</v>
      </c>
      <c r="D48" s="1499">
        <v>0</v>
      </c>
      <c r="E48" s="1499">
        <v>0</v>
      </c>
      <c r="F48" s="1499">
        <v>0</v>
      </c>
      <c r="G48" s="1500">
        <v>0</v>
      </c>
      <c r="H48" s="1501">
        <v>0</v>
      </c>
      <c r="I48" s="1501">
        <v>0</v>
      </c>
      <c r="J48" s="1499">
        <v>0</v>
      </c>
      <c r="K48" s="1502">
        <v>0</v>
      </c>
      <c r="L48" s="487"/>
    </row>
    <row r="49" spans="2:12" s="462" customFormat="1" outlineLevel="2" x14ac:dyDescent="0.25">
      <c r="B49" s="88" t="s">
        <v>728</v>
      </c>
      <c r="C49" s="1396">
        <v>0</v>
      </c>
      <c r="D49" s="1396">
        <v>0</v>
      </c>
      <c r="E49" s="1396">
        <v>0</v>
      </c>
      <c r="F49" s="1396">
        <v>0</v>
      </c>
      <c r="G49" s="1420">
        <v>0</v>
      </c>
      <c r="H49" s="1406">
        <v>0</v>
      </c>
      <c r="I49" s="1406">
        <v>0</v>
      </c>
      <c r="J49" s="1396">
        <v>0</v>
      </c>
      <c r="K49" s="1397">
        <v>0</v>
      </c>
      <c r="L49" s="487"/>
    </row>
    <row r="50" spans="2:12" s="462" customFormat="1" outlineLevel="2" x14ac:dyDescent="0.25">
      <c r="B50" s="88" t="s">
        <v>729</v>
      </c>
      <c r="C50" s="1396">
        <v>0</v>
      </c>
      <c r="D50" s="1396">
        <v>0</v>
      </c>
      <c r="E50" s="1396">
        <v>0</v>
      </c>
      <c r="F50" s="1396">
        <v>0</v>
      </c>
      <c r="G50" s="1420">
        <v>0</v>
      </c>
      <c r="H50" s="1406">
        <v>0</v>
      </c>
      <c r="I50" s="1406">
        <v>0</v>
      </c>
      <c r="J50" s="1396">
        <v>0</v>
      </c>
      <c r="K50" s="1397">
        <v>0</v>
      </c>
      <c r="L50" s="487"/>
    </row>
    <row r="51" spans="2:12" s="462" customFormat="1" outlineLevel="2" x14ac:dyDescent="0.25">
      <c r="B51" s="88" t="s">
        <v>730</v>
      </c>
      <c r="C51" s="1396">
        <v>0</v>
      </c>
      <c r="D51" s="1396">
        <v>0</v>
      </c>
      <c r="E51" s="1396">
        <v>0</v>
      </c>
      <c r="F51" s="1396">
        <v>0</v>
      </c>
      <c r="G51" s="1420">
        <v>0</v>
      </c>
      <c r="H51" s="1406">
        <v>0</v>
      </c>
      <c r="I51" s="1406">
        <v>0</v>
      </c>
      <c r="J51" s="1396">
        <v>0</v>
      </c>
      <c r="K51" s="1397">
        <v>0</v>
      </c>
      <c r="L51" s="487"/>
    </row>
    <row r="52" spans="2:12" s="462" customFormat="1" outlineLevel="2" x14ac:dyDescent="0.25">
      <c r="B52" s="88" t="s">
        <v>731</v>
      </c>
      <c r="C52" s="1396">
        <v>0</v>
      </c>
      <c r="D52" s="1396">
        <v>0</v>
      </c>
      <c r="E52" s="1396">
        <v>0</v>
      </c>
      <c r="F52" s="1396">
        <v>0</v>
      </c>
      <c r="G52" s="1420">
        <v>0</v>
      </c>
      <c r="H52" s="1406">
        <v>0</v>
      </c>
      <c r="I52" s="1406">
        <v>0</v>
      </c>
      <c r="J52" s="1396">
        <v>0</v>
      </c>
      <c r="K52" s="1397">
        <v>0</v>
      </c>
      <c r="L52" s="487"/>
    </row>
    <row r="53" spans="2:12" s="462" customFormat="1" outlineLevel="2" x14ac:dyDescent="0.25">
      <c r="B53" s="88" t="s">
        <v>732</v>
      </c>
      <c r="C53" s="1396">
        <v>0</v>
      </c>
      <c r="D53" s="1396">
        <v>0</v>
      </c>
      <c r="E53" s="1396">
        <v>0</v>
      </c>
      <c r="F53" s="1396">
        <v>0</v>
      </c>
      <c r="G53" s="1420">
        <v>0</v>
      </c>
      <c r="H53" s="1406">
        <v>0</v>
      </c>
      <c r="I53" s="1406">
        <v>0</v>
      </c>
      <c r="J53" s="1396">
        <v>0</v>
      </c>
      <c r="K53" s="1397">
        <v>0</v>
      </c>
      <c r="L53" s="521"/>
    </row>
    <row r="54" spans="2:12" s="462" customFormat="1" ht="15.75" outlineLevel="2" thickBot="1" x14ac:dyDescent="0.3">
      <c r="B54" s="88" t="s">
        <v>223</v>
      </c>
      <c r="C54" s="1400">
        <v>0</v>
      </c>
      <c r="D54" s="1400">
        <v>0</v>
      </c>
      <c r="E54" s="1400">
        <v>0</v>
      </c>
      <c r="F54" s="1400">
        <v>0</v>
      </c>
      <c r="G54" s="1421">
        <v>0</v>
      </c>
      <c r="H54" s="1402">
        <v>0</v>
      </c>
      <c r="I54" s="1402">
        <v>0</v>
      </c>
      <c r="J54" s="1400">
        <v>0</v>
      </c>
      <c r="K54" s="1403">
        <v>0</v>
      </c>
      <c r="L54" s="487"/>
    </row>
    <row r="55" spans="2:12" s="462" customFormat="1" outlineLevel="2" x14ac:dyDescent="0.25">
      <c r="B55" s="464" t="s">
        <v>715</v>
      </c>
      <c r="C55" s="465"/>
      <c r="D55" s="465"/>
      <c r="E55" s="465"/>
      <c r="F55" s="465"/>
      <c r="G55" s="465"/>
      <c r="H55" s="465"/>
      <c r="I55" s="465"/>
      <c r="J55" s="465"/>
      <c r="K55" s="466"/>
      <c r="L55" s="487"/>
    </row>
    <row r="56" spans="2:12" s="462" customFormat="1" outlineLevel="2" x14ac:dyDescent="0.25">
      <c r="B56" s="88" t="s">
        <v>727</v>
      </c>
      <c r="C56" s="1499">
        <v>0</v>
      </c>
      <c r="D56" s="1499">
        <v>0</v>
      </c>
      <c r="E56" s="1499">
        <v>0</v>
      </c>
      <c r="F56" s="1499">
        <v>0</v>
      </c>
      <c r="G56" s="1500">
        <v>0</v>
      </c>
      <c r="H56" s="1501">
        <v>0</v>
      </c>
      <c r="I56" s="1501">
        <v>0</v>
      </c>
      <c r="J56" s="1499">
        <v>0</v>
      </c>
      <c r="K56" s="1502">
        <v>0</v>
      </c>
      <c r="L56" s="487"/>
    </row>
    <row r="57" spans="2:12" s="462" customFormat="1" outlineLevel="2" x14ac:dyDescent="0.25">
      <c r="B57" s="88" t="s">
        <v>728</v>
      </c>
      <c r="C57" s="1396">
        <v>0</v>
      </c>
      <c r="D57" s="1396">
        <v>0</v>
      </c>
      <c r="E57" s="1396">
        <v>0</v>
      </c>
      <c r="F57" s="1396">
        <v>0</v>
      </c>
      <c r="G57" s="1420">
        <v>0</v>
      </c>
      <c r="H57" s="1406">
        <v>0</v>
      </c>
      <c r="I57" s="1406">
        <v>0</v>
      </c>
      <c r="J57" s="1396">
        <v>0</v>
      </c>
      <c r="K57" s="1397">
        <v>0</v>
      </c>
      <c r="L57" s="487"/>
    </row>
    <row r="58" spans="2:12" s="462" customFormat="1" outlineLevel="2" x14ac:dyDescent="0.25">
      <c r="B58" s="88" t="s">
        <v>729</v>
      </c>
      <c r="C58" s="1396">
        <v>0</v>
      </c>
      <c r="D58" s="1396">
        <v>0</v>
      </c>
      <c r="E58" s="1396">
        <v>0</v>
      </c>
      <c r="F58" s="1396">
        <v>0</v>
      </c>
      <c r="G58" s="1420">
        <v>0</v>
      </c>
      <c r="H58" s="1406">
        <v>0</v>
      </c>
      <c r="I58" s="1406">
        <v>0</v>
      </c>
      <c r="J58" s="1396">
        <v>0</v>
      </c>
      <c r="K58" s="1397">
        <v>0</v>
      </c>
      <c r="L58" s="487"/>
    </row>
    <row r="59" spans="2:12" s="462" customFormat="1" outlineLevel="2" x14ac:dyDescent="0.25">
      <c r="B59" s="88" t="s">
        <v>730</v>
      </c>
      <c r="C59" s="1396">
        <v>0</v>
      </c>
      <c r="D59" s="1396">
        <v>0</v>
      </c>
      <c r="E59" s="1396">
        <v>0</v>
      </c>
      <c r="F59" s="1396">
        <v>0</v>
      </c>
      <c r="G59" s="1420">
        <v>0</v>
      </c>
      <c r="H59" s="1406">
        <v>0</v>
      </c>
      <c r="I59" s="1406">
        <v>0</v>
      </c>
      <c r="J59" s="1396">
        <v>0</v>
      </c>
      <c r="K59" s="1397">
        <v>0</v>
      </c>
      <c r="L59" s="487"/>
    </row>
    <row r="60" spans="2:12" s="462" customFormat="1" outlineLevel="2" x14ac:dyDescent="0.25">
      <c r="B60" s="88" t="s">
        <v>731</v>
      </c>
      <c r="C60" s="1396">
        <v>0.30303030303030304</v>
      </c>
      <c r="D60" s="1396">
        <v>0</v>
      </c>
      <c r="E60" s="1396">
        <v>0</v>
      </c>
      <c r="F60" s="1396">
        <v>0.28292544914415052</v>
      </c>
      <c r="G60" s="1420">
        <v>0</v>
      </c>
      <c r="H60" s="1406">
        <v>0.14367816091954022</v>
      </c>
      <c r="I60" s="1406">
        <v>0</v>
      </c>
      <c r="J60" s="1396">
        <v>0</v>
      </c>
      <c r="K60" s="1397">
        <v>0</v>
      </c>
      <c r="L60" s="487"/>
    </row>
    <row r="61" spans="2:12" s="462" customFormat="1" outlineLevel="2" x14ac:dyDescent="0.25">
      <c r="B61" s="88" t="s">
        <v>732</v>
      </c>
      <c r="C61" s="1396">
        <v>0</v>
      </c>
      <c r="D61" s="1396">
        <v>0</v>
      </c>
      <c r="E61" s="1396">
        <v>0</v>
      </c>
      <c r="F61" s="1396">
        <v>0</v>
      </c>
      <c r="G61" s="1420">
        <v>0</v>
      </c>
      <c r="H61" s="1406">
        <v>0</v>
      </c>
      <c r="I61" s="1406">
        <v>0</v>
      </c>
      <c r="J61" s="1396">
        <v>0</v>
      </c>
      <c r="K61" s="1397">
        <v>0</v>
      </c>
      <c r="L61" s="521"/>
    </row>
    <row r="62" spans="2:12" s="462" customFormat="1" ht="15.75" outlineLevel="2" thickBot="1" x14ac:dyDescent="0.3">
      <c r="B62" s="88" t="s">
        <v>223</v>
      </c>
      <c r="C62" s="1400">
        <v>0.30303030303030304</v>
      </c>
      <c r="D62" s="1400">
        <v>0.14245014245014245</v>
      </c>
      <c r="E62" s="1400">
        <v>0.13698630136986301</v>
      </c>
      <c r="F62" s="1400">
        <v>0.28292544914415052</v>
      </c>
      <c r="G62" s="1421">
        <v>0</v>
      </c>
      <c r="H62" s="1402">
        <v>0.14367816091954022</v>
      </c>
      <c r="I62" s="1402">
        <v>0</v>
      </c>
      <c r="J62" s="1400">
        <v>0</v>
      </c>
      <c r="K62" s="1403">
        <v>0</v>
      </c>
      <c r="L62" s="487"/>
    </row>
    <row r="63" spans="2:12" s="462" customFormat="1" outlineLevel="2" x14ac:dyDescent="0.25">
      <c r="B63" s="464" t="s">
        <v>716</v>
      </c>
      <c r="C63" s="465"/>
      <c r="D63" s="465"/>
      <c r="E63" s="465"/>
      <c r="F63" s="465"/>
      <c r="G63" s="465"/>
      <c r="H63" s="465"/>
      <c r="I63" s="465"/>
      <c r="J63" s="465"/>
      <c r="K63" s="466"/>
      <c r="L63" s="487"/>
    </row>
    <row r="64" spans="2:12" s="462" customFormat="1" outlineLevel="2" x14ac:dyDescent="0.25">
      <c r="B64" s="88" t="s">
        <v>727</v>
      </c>
      <c r="C64" s="1499">
        <v>0</v>
      </c>
      <c r="D64" s="1499">
        <v>0</v>
      </c>
      <c r="E64" s="1499">
        <v>0</v>
      </c>
      <c r="F64" s="1499">
        <v>0</v>
      </c>
      <c r="G64" s="1500">
        <v>0</v>
      </c>
      <c r="H64" s="1501">
        <v>0</v>
      </c>
      <c r="I64" s="1501">
        <v>0</v>
      </c>
      <c r="J64" s="1499">
        <v>0</v>
      </c>
      <c r="K64" s="1502">
        <v>0</v>
      </c>
      <c r="L64" s="487"/>
    </row>
    <row r="65" spans="2:12" s="462" customFormat="1" outlineLevel="2" x14ac:dyDescent="0.25">
      <c r="B65" s="88" t="s">
        <v>728</v>
      </c>
      <c r="C65" s="1396">
        <v>0</v>
      </c>
      <c r="D65" s="1396">
        <v>0</v>
      </c>
      <c r="E65" s="1396">
        <v>0</v>
      </c>
      <c r="F65" s="1396">
        <v>0</v>
      </c>
      <c r="G65" s="1420">
        <v>0</v>
      </c>
      <c r="H65" s="1406">
        <v>0</v>
      </c>
      <c r="I65" s="1406">
        <v>0</v>
      </c>
      <c r="J65" s="1396">
        <v>0</v>
      </c>
      <c r="K65" s="1397">
        <v>0</v>
      </c>
      <c r="L65" s="487"/>
    </row>
    <row r="66" spans="2:12" s="462" customFormat="1" outlineLevel="2" x14ac:dyDescent="0.25">
      <c r="B66" s="88" t="s">
        <v>729</v>
      </c>
      <c r="C66" s="1396">
        <v>0</v>
      </c>
      <c r="D66" s="1396">
        <v>0</v>
      </c>
      <c r="E66" s="1396">
        <v>0</v>
      </c>
      <c r="F66" s="1396">
        <v>0</v>
      </c>
      <c r="G66" s="1420">
        <v>0</v>
      </c>
      <c r="H66" s="1406">
        <v>0</v>
      </c>
      <c r="I66" s="1406">
        <v>0</v>
      </c>
      <c r="J66" s="1396">
        <v>0</v>
      </c>
      <c r="K66" s="1397">
        <v>0</v>
      </c>
      <c r="L66" s="487"/>
    </row>
    <row r="67" spans="2:12" s="462" customFormat="1" outlineLevel="2" x14ac:dyDescent="0.25">
      <c r="B67" s="88" t="s">
        <v>730</v>
      </c>
      <c r="C67" s="1396">
        <v>0</v>
      </c>
      <c r="D67" s="1396">
        <v>0</v>
      </c>
      <c r="E67" s="1396">
        <v>0</v>
      </c>
      <c r="F67" s="1396">
        <v>0</v>
      </c>
      <c r="G67" s="1420">
        <v>0</v>
      </c>
      <c r="H67" s="1406">
        <v>0</v>
      </c>
      <c r="I67" s="1406">
        <v>0</v>
      </c>
      <c r="J67" s="1396">
        <v>0</v>
      </c>
      <c r="K67" s="1397">
        <v>0</v>
      </c>
      <c r="L67" s="487"/>
    </row>
    <row r="68" spans="2:12" s="462" customFormat="1" outlineLevel="2" x14ac:dyDescent="0.25">
      <c r="B68" s="88" t="s">
        <v>731</v>
      </c>
      <c r="C68" s="1396">
        <v>0</v>
      </c>
      <c r="D68" s="1396">
        <v>0</v>
      </c>
      <c r="E68" s="1396">
        <v>0</v>
      </c>
      <c r="F68" s="1396">
        <v>0</v>
      </c>
      <c r="G68" s="1420">
        <v>0</v>
      </c>
      <c r="H68" s="1406">
        <v>0</v>
      </c>
      <c r="I68" s="1406">
        <v>0</v>
      </c>
      <c r="J68" s="1396">
        <v>0</v>
      </c>
      <c r="K68" s="1397">
        <v>0</v>
      </c>
      <c r="L68" s="487"/>
    </row>
    <row r="69" spans="2:12" s="462" customFormat="1" outlineLevel="2" x14ac:dyDescent="0.25">
      <c r="B69" s="88" t="s">
        <v>732</v>
      </c>
      <c r="C69" s="1396">
        <v>0</v>
      </c>
      <c r="D69" s="1396">
        <v>0</v>
      </c>
      <c r="E69" s="1396">
        <v>0</v>
      </c>
      <c r="F69" s="1396">
        <v>0</v>
      </c>
      <c r="G69" s="1420">
        <v>0</v>
      </c>
      <c r="H69" s="1406">
        <v>0</v>
      </c>
      <c r="I69" s="1406">
        <v>0</v>
      </c>
      <c r="J69" s="1396">
        <v>0</v>
      </c>
      <c r="K69" s="1397">
        <v>0</v>
      </c>
      <c r="L69" s="521"/>
    </row>
    <row r="70" spans="2:12" s="462" customFormat="1" ht="15.75" outlineLevel="2" thickBot="1" x14ac:dyDescent="0.3">
      <c r="B70" s="88" t="s">
        <v>223</v>
      </c>
      <c r="C70" s="1400">
        <v>0</v>
      </c>
      <c r="D70" s="1400">
        <v>0</v>
      </c>
      <c r="E70" s="1400">
        <v>0</v>
      </c>
      <c r="F70" s="1400">
        <v>0</v>
      </c>
      <c r="G70" s="1421">
        <v>0</v>
      </c>
      <c r="H70" s="1402">
        <v>0</v>
      </c>
      <c r="I70" s="1402">
        <v>0</v>
      </c>
      <c r="J70" s="1400">
        <v>0</v>
      </c>
      <c r="K70" s="1403">
        <v>0</v>
      </c>
      <c r="L70" s="487"/>
    </row>
    <row r="71" spans="2:12" s="462" customFormat="1" outlineLevel="2" x14ac:dyDescent="0.25">
      <c r="B71" s="464" t="s">
        <v>717</v>
      </c>
      <c r="C71" s="465"/>
      <c r="D71" s="465"/>
      <c r="E71" s="465"/>
      <c r="F71" s="465"/>
      <c r="G71" s="465"/>
      <c r="H71" s="465"/>
      <c r="I71" s="465"/>
      <c r="J71" s="465"/>
      <c r="K71" s="466"/>
      <c r="L71" s="487"/>
    </row>
    <row r="72" spans="2:12" s="462" customFormat="1" outlineLevel="2" x14ac:dyDescent="0.25">
      <c r="B72" s="88" t="s">
        <v>727</v>
      </c>
      <c r="C72" s="1499">
        <v>0</v>
      </c>
      <c r="D72" s="1499">
        <v>0</v>
      </c>
      <c r="E72" s="1499">
        <v>0</v>
      </c>
      <c r="F72" s="1499">
        <v>0</v>
      </c>
      <c r="G72" s="1500">
        <v>0</v>
      </c>
      <c r="H72" s="1501">
        <v>0</v>
      </c>
      <c r="I72" s="1501">
        <v>0</v>
      </c>
      <c r="J72" s="1499">
        <v>0</v>
      </c>
      <c r="K72" s="1502">
        <v>0</v>
      </c>
      <c r="L72" s="487"/>
    </row>
    <row r="73" spans="2:12" s="462" customFormat="1" outlineLevel="2" x14ac:dyDescent="0.25">
      <c r="B73" s="88" t="s">
        <v>728</v>
      </c>
      <c r="C73" s="1396">
        <v>0</v>
      </c>
      <c r="D73" s="1396">
        <v>0</v>
      </c>
      <c r="E73" s="1396">
        <v>0</v>
      </c>
      <c r="F73" s="1396">
        <v>0</v>
      </c>
      <c r="G73" s="1420">
        <v>0</v>
      </c>
      <c r="H73" s="1406">
        <v>0</v>
      </c>
      <c r="I73" s="1406">
        <v>0</v>
      </c>
      <c r="J73" s="1396">
        <v>0</v>
      </c>
      <c r="K73" s="1397">
        <v>0</v>
      </c>
      <c r="L73" s="487"/>
    </row>
    <row r="74" spans="2:12" s="462" customFormat="1" outlineLevel="2" x14ac:dyDescent="0.25">
      <c r="B74" s="88" t="s">
        <v>729</v>
      </c>
      <c r="C74" s="1396">
        <v>0</v>
      </c>
      <c r="D74" s="1396">
        <v>0</v>
      </c>
      <c r="E74" s="1396">
        <v>0</v>
      </c>
      <c r="F74" s="1396">
        <v>0</v>
      </c>
      <c r="G74" s="1420">
        <v>0</v>
      </c>
      <c r="H74" s="1406">
        <v>0</v>
      </c>
      <c r="I74" s="1406">
        <v>0</v>
      </c>
      <c r="J74" s="1396">
        <v>0</v>
      </c>
      <c r="K74" s="1397">
        <v>0</v>
      </c>
      <c r="L74" s="487"/>
    </row>
    <row r="75" spans="2:12" s="462" customFormat="1" outlineLevel="2" x14ac:dyDescent="0.25">
      <c r="B75" s="88" t="s">
        <v>730</v>
      </c>
      <c r="C75" s="1396">
        <v>0</v>
      </c>
      <c r="D75" s="1396">
        <v>0</v>
      </c>
      <c r="E75" s="1396">
        <v>0</v>
      </c>
      <c r="F75" s="1396">
        <v>0</v>
      </c>
      <c r="G75" s="1420">
        <v>0</v>
      </c>
      <c r="H75" s="1406">
        <v>0</v>
      </c>
      <c r="I75" s="1406">
        <v>0</v>
      </c>
      <c r="J75" s="1396">
        <v>0</v>
      </c>
      <c r="K75" s="1397">
        <v>0</v>
      </c>
      <c r="L75" s="487"/>
    </row>
    <row r="76" spans="2:12" s="462" customFormat="1" outlineLevel="2" x14ac:dyDescent="0.25">
      <c r="B76" s="88" t="s">
        <v>731</v>
      </c>
      <c r="C76" s="1396">
        <v>0</v>
      </c>
      <c r="D76" s="1396">
        <v>0</v>
      </c>
      <c r="E76" s="1396">
        <v>0</v>
      </c>
      <c r="F76" s="1396">
        <v>0</v>
      </c>
      <c r="G76" s="1420">
        <v>0</v>
      </c>
      <c r="H76" s="1406">
        <v>0</v>
      </c>
      <c r="I76" s="1406">
        <v>0</v>
      </c>
      <c r="J76" s="1396">
        <v>0</v>
      </c>
      <c r="K76" s="1397">
        <v>0</v>
      </c>
      <c r="L76" s="487"/>
    </row>
    <row r="77" spans="2:12" s="462" customFormat="1" outlineLevel="2" x14ac:dyDescent="0.25">
      <c r="B77" s="88" t="s">
        <v>732</v>
      </c>
      <c r="C77" s="1396">
        <v>0</v>
      </c>
      <c r="D77" s="1396">
        <v>0</v>
      </c>
      <c r="E77" s="1396">
        <v>0</v>
      </c>
      <c r="F77" s="1396">
        <v>0</v>
      </c>
      <c r="G77" s="1420">
        <v>0</v>
      </c>
      <c r="H77" s="1406">
        <v>0</v>
      </c>
      <c r="I77" s="1406">
        <v>0</v>
      </c>
      <c r="J77" s="1396">
        <v>0</v>
      </c>
      <c r="K77" s="1397">
        <v>0</v>
      </c>
      <c r="L77" s="521"/>
    </row>
    <row r="78" spans="2:12" s="462" customFormat="1" ht="15.75" outlineLevel="2" thickBot="1" x14ac:dyDescent="0.3">
      <c r="B78" s="88" t="s">
        <v>223</v>
      </c>
      <c r="C78" s="1400">
        <v>0</v>
      </c>
      <c r="D78" s="1400">
        <v>0</v>
      </c>
      <c r="E78" s="1400">
        <v>0</v>
      </c>
      <c r="F78" s="1400">
        <v>0</v>
      </c>
      <c r="G78" s="1421">
        <v>0</v>
      </c>
      <c r="H78" s="1402">
        <v>0</v>
      </c>
      <c r="I78" s="1402">
        <v>0</v>
      </c>
      <c r="J78" s="1400">
        <v>0</v>
      </c>
      <c r="K78" s="1403">
        <v>0</v>
      </c>
      <c r="L78" s="487"/>
    </row>
    <row r="79" spans="2:12" s="462" customFormat="1" outlineLevel="2" x14ac:dyDescent="0.25">
      <c r="B79" s="464" t="s">
        <v>718</v>
      </c>
      <c r="C79" s="465"/>
      <c r="D79" s="465"/>
      <c r="E79" s="465"/>
      <c r="F79" s="465"/>
      <c r="G79" s="465"/>
      <c r="H79" s="465"/>
      <c r="I79" s="465"/>
      <c r="J79" s="465"/>
      <c r="K79" s="466"/>
      <c r="L79" s="487"/>
    </row>
    <row r="80" spans="2:12" s="462" customFormat="1" outlineLevel="2" x14ac:dyDescent="0.25">
      <c r="B80" s="88" t="s">
        <v>727</v>
      </c>
      <c r="C80" s="1499">
        <v>0</v>
      </c>
      <c r="D80" s="1499">
        <v>0</v>
      </c>
      <c r="E80" s="1499">
        <v>0</v>
      </c>
      <c r="F80" s="1499">
        <v>0</v>
      </c>
      <c r="G80" s="1500">
        <v>0</v>
      </c>
      <c r="H80" s="1501">
        <v>0</v>
      </c>
      <c r="I80" s="1501">
        <v>0</v>
      </c>
      <c r="J80" s="1499">
        <v>0</v>
      </c>
      <c r="K80" s="1502">
        <v>0</v>
      </c>
      <c r="L80" s="487"/>
    </row>
    <row r="81" spans="2:12" s="462" customFormat="1" outlineLevel="2" x14ac:dyDescent="0.25">
      <c r="B81" s="88" t="s">
        <v>728</v>
      </c>
      <c r="C81" s="1396">
        <v>0</v>
      </c>
      <c r="D81" s="1396">
        <v>0</v>
      </c>
      <c r="E81" s="1396">
        <v>0</v>
      </c>
      <c r="F81" s="1396">
        <v>0</v>
      </c>
      <c r="G81" s="1420">
        <v>0</v>
      </c>
      <c r="H81" s="1406">
        <v>0</v>
      </c>
      <c r="I81" s="1406">
        <v>0</v>
      </c>
      <c r="J81" s="1396">
        <v>0</v>
      </c>
      <c r="K81" s="1397">
        <v>0</v>
      </c>
      <c r="L81" s="487"/>
    </row>
    <row r="82" spans="2:12" s="462" customFormat="1" outlineLevel="2" x14ac:dyDescent="0.25">
      <c r="B82" s="88" t="s">
        <v>729</v>
      </c>
      <c r="C82" s="1396">
        <v>0</v>
      </c>
      <c r="D82" s="1396">
        <v>0</v>
      </c>
      <c r="E82" s="1396">
        <v>0</v>
      </c>
      <c r="F82" s="1396">
        <v>0</v>
      </c>
      <c r="G82" s="1420">
        <v>0</v>
      </c>
      <c r="H82" s="1406">
        <v>0</v>
      </c>
      <c r="I82" s="1406">
        <v>0</v>
      </c>
      <c r="J82" s="1396">
        <v>0</v>
      </c>
      <c r="K82" s="1397">
        <v>0</v>
      </c>
      <c r="L82" s="487"/>
    </row>
    <row r="83" spans="2:12" s="462" customFormat="1" outlineLevel="2" x14ac:dyDescent="0.25">
      <c r="B83" s="88" t="s">
        <v>730</v>
      </c>
      <c r="C83" s="1396">
        <v>0</v>
      </c>
      <c r="D83" s="1396">
        <v>0</v>
      </c>
      <c r="E83" s="1396">
        <v>0</v>
      </c>
      <c r="F83" s="1396">
        <v>0</v>
      </c>
      <c r="G83" s="1420">
        <v>0</v>
      </c>
      <c r="H83" s="1406">
        <v>0</v>
      </c>
      <c r="I83" s="1406">
        <v>0</v>
      </c>
      <c r="J83" s="1396">
        <v>0</v>
      </c>
      <c r="K83" s="1397">
        <v>0</v>
      </c>
      <c r="L83" s="487"/>
    </row>
    <row r="84" spans="2:12" s="462" customFormat="1" outlineLevel="2" x14ac:dyDescent="0.25">
      <c r="B84" s="88" t="s">
        <v>731</v>
      </c>
      <c r="C84" s="1396">
        <v>0.16474464579901152</v>
      </c>
      <c r="D84" s="1396">
        <v>0.35587188612099646</v>
      </c>
      <c r="E84" s="1396">
        <v>0</v>
      </c>
      <c r="F84" s="1396">
        <v>0</v>
      </c>
      <c r="G84" s="1420">
        <v>0</v>
      </c>
      <c r="H84" s="1406">
        <v>0</v>
      </c>
      <c r="I84" s="1406">
        <v>0</v>
      </c>
      <c r="J84" s="1396">
        <v>0</v>
      </c>
      <c r="K84" s="1397">
        <v>0</v>
      </c>
      <c r="L84" s="487"/>
    </row>
    <row r="85" spans="2:12" s="462" customFormat="1" outlineLevel="2" x14ac:dyDescent="0.25">
      <c r="B85" s="88" t="s">
        <v>732</v>
      </c>
      <c r="C85" s="1396">
        <v>0</v>
      </c>
      <c r="D85" s="1396">
        <v>0</v>
      </c>
      <c r="E85" s="1396">
        <v>0</v>
      </c>
      <c r="F85" s="1396">
        <v>0</v>
      </c>
      <c r="G85" s="1420">
        <v>0</v>
      </c>
      <c r="H85" s="1406">
        <v>0</v>
      </c>
      <c r="I85" s="1406">
        <v>0</v>
      </c>
      <c r="J85" s="1396">
        <v>0</v>
      </c>
      <c r="K85" s="1397">
        <v>0</v>
      </c>
      <c r="L85" s="521"/>
    </row>
    <row r="86" spans="2:12" s="462" customFormat="1" ht="15.75" outlineLevel="2" thickBot="1" x14ac:dyDescent="0.3">
      <c r="B86" s="88" t="s">
        <v>223</v>
      </c>
      <c r="C86" s="1400">
        <v>0.16474464579901152</v>
      </c>
      <c r="D86" s="1400">
        <v>0.53380782918149461</v>
      </c>
      <c r="E86" s="1400">
        <v>0</v>
      </c>
      <c r="F86" s="1400">
        <v>0.19493177387914232</v>
      </c>
      <c r="G86" s="1421">
        <v>0.20202020202020202</v>
      </c>
      <c r="H86" s="1402">
        <v>0</v>
      </c>
      <c r="I86" s="1402">
        <v>0</v>
      </c>
      <c r="J86" s="1400">
        <v>0</v>
      </c>
      <c r="K86" s="1403">
        <v>0</v>
      </c>
      <c r="L86" s="487"/>
    </row>
    <row r="87" spans="2:12" s="462" customFormat="1" outlineLevel="2" x14ac:dyDescent="0.25">
      <c r="B87" s="464" t="s">
        <v>719</v>
      </c>
      <c r="C87" s="465"/>
      <c r="D87" s="465"/>
      <c r="E87" s="465"/>
      <c r="F87" s="465"/>
      <c r="G87" s="465"/>
      <c r="H87" s="465"/>
      <c r="I87" s="465"/>
      <c r="J87" s="465"/>
      <c r="K87" s="466"/>
      <c r="L87" s="521"/>
    </row>
    <row r="88" spans="2:12" s="462" customFormat="1" outlineLevel="2" x14ac:dyDescent="0.25">
      <c r="B88" s="88" t="s">
        <v>727</v>
      </c>
      <c r="C88" s="1499">
        <v>0</v>
      </c>
      <c r="D88" s="1499">
        <v>0</v>
      </c>
      <c r="E88" s="1499">
        <v>0</v>
      </c>
      <c r="F88" s="1499">
        <v>0</v>
      </c>
      <c r="G88" s="1500">
        <v>0</v>
      </c>
      <c r="H88" s="1501">
        <v>0</v>
      </c>
      <c r="I88" s="1501">
        <v>0</v>
      </c>
      <c r="J88" s="1499">
        <v>0</v>
      </c>
      <c r="K88" s="1502">
        <v>0</v>
      </c>
      <c r="L88" s="521"/>
    </row>
    <row r="89" spans="2:12" s="462" customFormat="1" outlineLevel="2" x14ac:dyDescent="0.25">
      <c r="B89" s="88" t="s">
        <v>728</v>
      </c>
      <c r="C89" s="1396">
        <v>0</v>
      </c>
      <c r="D89" s="1396">
        <v>0</v>
      </c>
      <c r="E89" s="1396">
        <v>0</v>
      </c>
      <c r="F89" s="1396">
        <v>0</v>
      </c>
      <c r="G89" s="1420">
        <v>0</v>
      </c>
      <c r="H89" s="1406">
        <v>0</v>
      </c>
      <c r="I89" s="1406">
        <v>0</v>
      </c>
      <c r="J89" s="1396">
        <v>0</v>
      </c>
      <c r="K89" s="1397">
        <v>0</v>
      </c>
      <c r="L89" s="521"/>
    </row>
    <row r="90" spans="2:12" s="462" customFormat="1" outlineLevel="2" x14ac:dyDescent="0.25">
      <c r="B90" s="88" t="s">
        <v>729</v>
      </c>
      <c r="C90" s="1396">
        <v>0</v>
      </c>
      <c r="D90" s="1396">
        <v>0</v>
      </c>
      <c r="E90" s="1396">
        <v>0</v>
      </c>
      <c r="F90" s="1396">
        <v>0</v>
      </c>
      <c r="G90" s="1420">
        <v>0</v>
      </c>
      <c r="H90" s="1406">
        <v>0</v>
      </c>
      <c r="I90" s="1406">
        <v>0</v>
      </c>
      <c r="J90" s="1396">
        <v>0</v>
      </c>
      <c r="K90" s="1397">
        <v>0</v>
      </c>
      <c r="L90" s="521"/>
    </row>
    <row r="91" spans="2:12" s="462" customFormat="1" outlineLevel="2" x14ac:dyDescent="0.25">
      <c r="B91" s="88" t="s">
        <v>730</v>
      </c>
      <c r="C91" s="1396">
        <v>0</v>
      </c>
      <c r="D91" s="1396">
        <v>0</v>
      </c>
      <c r="E91" s="1396">
        <v>0</v>
      </c>
      <c r="F91" s="1396">
        <v>0</v>
      </c>
      <c r="G91" s="1420">
        <v>0</v>
      </c>
      <c r="H91" s="1406">
        <v>0</v>
      </c>
      <c r="I91" s="1406">
        <v>0</v>
      </c>
      <c r="J91" s="1396">
        <v>0</v>
      </c>
      <c r="K91" s="1397">
        <v>0</v>
      </c>
      <c r="L91" s="521"/>
    </row>
    <row r="92" spans="2:12" s="462" customFormat="1" outlineLevel="2" x14ac:dyDescent="0.25">
      <c r="B92" s="88" t="s">
        <v>731</v>
      </c>
      <c r="C92" s="1396">
        <v>0</v>
      </c>
      <c r="D92" s="1396">
        <v>0</v>
      </c>
      <c r="E92" s="1396">
        <v>0</v>
      </c>
      <c r="F92" s="1396">
        <v>0</v>
      </c>
      <c r="G92" s="1420">
        <v>0</v>
      </c>
      <c r="H92" s="1406">
        <v>0</v>
      </c>
      <c r="I92" s="1406">
        <v>0</v>
      </c>
      <c r="J92" s="1396">
        <v>0</v>
      </c>
      <c r="K92" s="1397">
        <v>0</v>
      </c>
      <c r="L92" s="521"/>
    </row>
    <row r="93" spans="2:12" s="462" customFormat="1" outlineLevel="2" x14ac:dyDescent="0.25">
      <c r="B93" s="88" t="s">
        <v>732</v>
      </c>
      <c r="C93" s="1396">
        <v>0</v>
      </c>
      <c r="D93" s="1396">
        <v>0</v>
      </c>
      <c r="E93" s="1396">
        <v>0</v>
      </c>
      <c r="F93" s="1396">
        <v>0</v>
      </c>
      <c r="G93" s="1420">
        <v>0</v>
      </c>
      <c r="H93" s="1406">
        <v>0</v>
      </c>
      <c r="I93" s="1406">
        <v>0</v>
      </c>
      <c r="J93" s="1396">
        <v>0</v>
      </c>
      <c r="K93" s="1397">
        <v>0</v>
      </c>
      <c r="L93" s="521"/>
    </row>
    <row r="94" spans="2:12" s="462" customFormat="1" ht="15.75" outlineLevel="2" thickBot="1" x14ac:dyDescent="0.3">
      <c r="B94" s="88" t="s">
        <v>223</v>
      </c>
      <c r="C94" s="1400">
        <v>0</v>
      </c>
      <c r="D94" s="1400">
        <v>0</v>
      </c>
      <c r="E94" s="1400">
        <v>0</v>
      </c>
      <c r="F94" s="1400">
        <v>0</v>
      </c>
      <c r="G94" s="1421">
        <v>0</v>
      </c>
      <c r="H94" s="1402">
        <v>0</v>
      </c>
      <c r="I94" s="1402">
        <v>0</v>
      </c>
      <c r="J94" s="1400">
        <v>0</v>
      </c>
      <c r="K94" s="1403">
        <v>0</v>
      </c>
      <c r="L94" s="521"/>
    </row>
    <row r="95" spans="2:12" s="462" customFormat="1" outlineLevel="2" x14ac:dyDescent="0.25">
      <c r="B95" s="464" t="s">
        <v>781</v>
      </c>
      <c r="C95" s="465"/>
      <c r="D95" s="465"/>
      <c r="E95" s="465"/>
      <c r="F95" s="465"/>
      <c r="G95" s="465"/>
      <c r="H95" s="465"/>
      <c r="I95" s="465"/>
      <c r="J95" s="465"/>
      <c r="K95" s="466"/>
      <c r="L95" s="487"/>
    </row>
    <row r="96" spans="2:12" s="462" customFormat="1" outlineLevel="2" x14ac:dyDescent="0.25">
      <c r="B96" s="88" t="s">
        <v>727</v>
      </c>
      <c r="C96" s="1499">
        <v>0</v>
      </c>
      <c r="D96" s="1499">
        <v>0</v>
      </c>
      <c r="E96" s="1499">
        <v>0</v>
      </c>
      <c r="F96" s="1499">
        <v>0</v>
      </c>
      <c r="G96" s="1500">
        <v>0</v>
      </c>
      <c r="H96" s="1501">
        <v>0</v>
      </c>
      <c r="I96" s="1501">
        <v>0</v>
      </c>
      <c r="J96" s="1499">
        <v>0</v>
      </c>
      <c r="K96" s="1502">
        <v>0</v>
      </c>
      <c r="L96" s="487"/>
    </row>
    <row r="97" spans="2:12" s="462" customFormat="1" outlineLevel="2" x14ac:dyDescent="0.25">
      <c r="B97" s="88" t="s">
        <v>728</v>
      </c>
      <c r="C97" s="1396">
        <v>0</v>
      </c>
      <c r="D97" s="1396">
        <v>0</v>
      </c>
      <c r="E97" s="1396">
        <v>0</v>
      </c>
      <c r="F97" s="1396">
        <v>0</v>
      </c>
      <c r="G97" s="1420">
        <v>0</v>
      </c>
      <c r="H97" s="1406">
        <v>0</v>
      </c>
      <c r="I97" s="1406">
        <v>0</v>
      </c>
      <c r="J97" s="1396">
        <v>0</v>
      </c>
      <c r="K97" s="1397">
        <v>0</v>
      </c>
      <c r="L97" s="487"/>
    </row>
    <row r="98" spans="2:12" s="462" customFormat="1" outlineLevel="2" x14ac:dyDescent="0.25">
      <c r="B98" s="88" t="s">
        <v>729</v>
      </c>
      <c r="C98" s="1396">
        <v>0</v>
      </c>
      <c r="D98" s="1396">
        <v>0</v>
      </c>
      <c r="E98" s="1396">
        <v>0</v>
      </c>
      <c r="F98" s="1396">
        <v>0</v>
      </c>
      <c r="G98" s="1420">
        <v>0</v>
      </c>
      <c r="H98" s="1406">
        <v>0</v>
      </c>
      <c r="I98" s="1406">
        <v>0</v>
      </c>
      <c r="J98" s="1396">
        <v>0</v>
      </c>
      <c r="K98" s="1397">
        <v>0</v>
      </c>
      <c r="L98" s="487"/>
    </row>
    <row r="99" spans="2:12" s="462" customFormat="1" outlineLevel="2" x14ac:dyDescent="0.25">
      <c r="B99" s="88" t="s">
        <v>730</v>
      </c>
      <c r="C99" s="1396">
        <v>0</v>
      </c>
      <c r="D99" s="1396">
        <v>0</v>
      </c>
      <c r="E99" s="1396">
        <v>0</v>
      </c>
      <c r="F99" s="1396">
        <v>0</v>
      </c>
      <c r="G99" s="1420">
        <v>0</v>
      </c>
      <c r="H99" s="1406">
        <v>0</v>
      </c>
      <c r="I99" s="1406">
        <v>0</v>
      </c>
      <c r="J99" s="1396">
        <v>0</v>
      </c>
      <c r="K99" s="1397">
        <v>0</v>
      </c>
      <c r="L99" s="487"/>
    </row>
    <row r="100" spans="2:12" s="462" customFormat="1" outlineLevel="2" x14ac:dyDescent="0.25">
      <c r="B100" s="88" t="s">
        <v>731</v>
      </c>
      <c r="C100" s="1396">
        <v>34.188034188034187</v>
      </c>
      <c r="D100" s="1396">
        <v>0</v>
      </c>
      <c r="E100" s="1396">
        <v>54.545454545454547</v>
      </c>
      <c r="F100" s="1396">
        <v>8.5470085470085468</v>
      </c>
      <c r="G100" s="1420">
        <v>27.272727272727273</v>
      </c>
      <c r="H100" s="1406">
        <v>0</v>
      </c>
      <c r="I100" s="1406">
        <v>0</v>
      </c>
      <c r="J100" s="1396">
        <v>0</v>
      </c>
      <c r="K100" s="1397">
        <v>0</v>
      </c>
      <c r="L100" s="487"/>
    </row>
    <row r="101" spans="2:12" s="462" customFormat="1" outlineLevel="2" x14ac:dyDescent="0.25">
      <c r="B101" s="88" t="s">
        <v>732</v>
      </c>
      <c r="C101" s="1396">
        <v>0</v>
      </c>
      <c r="D101" s="1396">
        <v>0</v>
      </c>
      <c r="E101" s="1396">
        <v>0</v>
      </c>
      <c r="F101" s="1396">
        <v>0</v>
      </c>
      <c r="G101" s="1420">
        <v>0</v>
      </c>
      <c r="H101" s="1406">
        <v>0</v>
      </c>
      <c r="I101" s="1406">
        <v>0</v>
      </c>
      <c r="J101" s="1396">
        <v>0</v>
      </c>
      <c r="K101" s="1397">
        <v>0</v>
      </c>
      <c r="L101" s="521"/>
    </row>
    <row r="102" spans="2:12" s="462" customFormat="1" ht="15.75" outlineLevel="2" thickBot="1" x14ac:dyDescent="0.3">
      <c r="B102" s="88" t="s">
        <v>223</v>
      </c>
      <c r="C102" s="1400">
        <v>247.86324786324784</v>
      </c>
      <c r="D102" s="1400">
        <v>181.81818181818181</v>
      </c>
      <c r="E102" s="1400">
        <v>354.54545454545456</v>
      </c>
      <c r="F102" s="1400">
        <v>264.95726495726495</v>
      </c>
      <c r="G102" s="1421">
        <v>118.18181818181819</v>
      </c>
      <c r="H102" s="1402">
        <v>0</v>
      </c>
      <c r="I102" s="1402">
        <v>0</v>
      </c>
      <c r="J102" s="1400">
        <v>0</v>
      </c>
      <c r="K102" s="1403">
        <v>0</v>
      </c>
      <c r="L102" s="487"/>
    </row>
    <row r="103" spans="2:12" s="462" customFormat="1" outlineLevel="2" x14ac:dyDescent="0.25">
      <c r="B103" s="464" t="s">
        <v>720</v>
      </c>
      <c r="C103" s="465"/>
      <c r="D103" s="465"/>
      <c r="E103" s="465"/>
      <c r="F103" s="465"/>
      <c r="G103" s="465"/>
      <c r="H103" s="465"/>
      <c r="I103" s="465"/>
      <c r="J103" s="465"/>
      <c r="K103" s="466"/>
      <c r="L103" s="487"/>
    </row>
    <row r="104" spans="2:12" s="462" customFormat="1" outlineLevel="2" x14ac:dyDescent="0.25">
      <c r="B104" s="88" t="s">
        <v>727</v>
      </c>
      <c r="C104" s="1499">
        <v>3.6420523518960676E-2</v>
      </c>
      <c r="D104" s="1499">
        <v>4.2083407647690495E-2</v>
      </c>
      <c r="E104" s="1499">
        <v>5.2553151003363392E-2</v>
      </c>
      <c r="F104" s="1499">
        <v>6.2478639076601089E-2</v>
      </c>
      <c r="G104" s="1500">
        <v>2.2864507863128877E-2</v>
      </c>
      <c r="H104" s="1501">
        <v>2.5906735751295335E-2</v>
      </c>
      <c r="I104" s="1501">
        <v>3.4530386740331494E-2</v>
      </c>
      <c r="J104" s="1499">
        <v>0</v>
      </c>
      <c r="K104" s="1502">
        <v>5.3850296176628967E-2</v>
      </c>
      <c r="L104" s="487"/>
    </row>
    <row r="105" spans="2:12" s="462" customFormat="1" outlineLevel="2" x14ac:dyDescent="0.25">
      <c r="B105" s="88" t="s">
        <v>728</v>
      </c>
      <c r="C105" s="1396">
        <v>7.2841047037921366E-2</v>
      </c>
      <c r="D105" s="1396">
        <v>8.4166815295381003E-2</v>
      </c>
      <c r="E105" s="1396">
        <v>0.10510630200672681</v>
      </c>
      <c r="F105" s="1396">
        <v>0.12495727815320219</v>
      </c>
      <c r="G105" s="1420">
        <v>4.5729015726257767E-2</v>
      </c>
      <c r="H105" s="1406">
        <v>0.12953367875647667</v>
      </c>
      <c r="I105" s="1406">
        <v>6.9060773480662987E-2</v>
      </c>
      <c r="J105" s="1396">
        <v>0</v>
      </c>
      <c r="K105" s="1397">
        <v>0</v>
      </c>
      <c r="L105" s="487"/>
    </row>
    <row r="106" spans="2:12" s="462" customFormat="1" outlineLevel="2" x14ac:dyDescent="0.25">
      <c r="B106" s="88" t="s">
        <v>729</v>
      </c>
      <c r="C106" s="1396">
        <v>0.73998363089691499</v>
      </c>
      <c r="D106" s="1396">
        <v>0.85504077873677076</v>
      </c>
      <c r="E106" s="1396">
        <v>1.0677625617956095</v>
      </c>
      <c r="F106" s="1396">
        <v>1.2694262940325931</v>
      </c>
      <c r="G106" s="1420">
        <v>0.46455569312233747</v>
      </c>
      <c r="H106" s="1406">
        <v>0.28497409326424872</v>
      </c>
      <c r="I106" s="1406">
        <v>0.58701657458563539</v>
      </c>
      <c r="J106" s="1396">
        <v>0.49931575017884866</v>
      </c>
      <c r="K106" s="1397">
        <v>0.80775444264943452</v>
      </c>
      <c r="L106" s="487"/>
    </row>
    <row r="107" spans="2:12" s="462" customFormat="1" outlineLevel="2" x14ac:dyDescent="0.25">
      <c r="B107" s="88" t="s">
        <v>730</v>
      </c>
      <c r="C107" s="1396">
        <v>0</v>
      </c>
      <c r="D107" s="1396">
        <v>0</v>
      </c>
      <c r="E107" s="1396">
        <v>0</v>
      </c>
      <c r="F107" s="1396">
        <v>0</v>
      </c>
      <c r="G107" s="1420">
        <v>0</v>
      </c>
      <c r="H107" s="1406">
        <v>0</v>
      </c>
      <c r="I107" s="1406">
        <v>0</v>
      </c>
      <c r="J107" s="1396">
        <v>0</v>
      </c>
      <c r="K107" s="1397">
        <v>0</v>
      </c>
      <c r="L107" s="487"/>
    </row>
    <row r="108" spans="2:12" s="462" customFormat="1" outlineLevel="2" x14ac:dyDescent="0.25">
      <c r="B108" s="88" t="s">
        <v>731</v>
      </c>
      <c r="C108" s="1396">
        <v>0.64867412822969583</v>
      </c>
      <c r="D108" s="1396">
        <v>0.74953392019718978</v>
      </c>
      <c r="E108" s="1396">
        <v>0.93600712233263184</v>
      </c>
      <c r="F108" s="1396">
        <v>1.112786770209188</v>
      </c>
      <c r="G108" s="1420">
        <v>0.40723233145714532</v>
      </c>
      <c r="H108" s="1406">
        <v>0.36269430051813473</v>
      </c>
      <c r="I108" s="1406">
        <v>0.79419889502762431</v>
      </c>
      <c r="J108" s="1396">
        <v>0.41609645848237387</v>
      </c>
      <c r="K108" s="1397">
        <v>0.37695207323640278</v>
      </c>
      <c r="L108" s="487"/>
    </row>
    <row r="109" spans="2:12" s="462" customFormat="1" outlineLevel="2" x14ac:dyDescent="0.25">
      <c r="B109" s="88" t="s">
        <v>732</v>
      </c>
      <c r="C109" s="1396">
        <v>0</v>
      </c>
      <c r="D109" s="1396">
        <v>0</v>
      </c>
      <c r="E109" s="1396">
        <v>0</v>
      </c>
      <c r="F109" s="1396">
        <v>0</v>
      </c>
      <c r="G109" s="1420">
        <v>0</v>
      </c>
      <c r="H109" s="1406">
        <v>0</v>
      </c>
      <c r="I109" s="1406">
        <v>0</v>
      </c>
      <c r="J109" s="1396">
        <v>0</v>
      </c>
      <c r="K109" s="1397">
        <v>0</v>
      </c>
      <c r="L109" s="521"/>
    </row>
    <row r="110" spans="2:12" s="462" customFormat="1" ht="15.75" outlineLevel="2" thickBot="1" x14ac:dyDescent="0.3">
      <c r="B110" s="88" t="s">
        <v>223</v>
      </c>
      <c r="C110" s="1400">
        <v>0.13799702948009873</v>
      </c>
      <c r="D110" s="1400">
        <v>0.15945364549079061</v>
      </c>
      <c r="E110" s="1400">
        <v>0.19912340701274392</v>
      </c>
      <c r="F110" s="1400">
        <v>0.23673099026271791</v>
      </c>
      <c r="G110" s="1421">
        <v>8.663341052726814E-2</v>
      </c>
      <c r="H110" s="1402">
        <v>0.12953367875647667</v>
      </c>
      <c r="I110" s="1402">
        <v>0.27624309392265195</v>
      </c>
      <c r="J110" s="1400">
        <v>0</v>
      </c>
      <c r="K110" s="1403">
        <v>5.3850296176628967E-2</v>
      </c>
      <c r="L110" s="487"/>
    </row>
    <row r="111" spans="2:12" s="462" customFormat="1" outlineLevel="2" x14ac:dyDescent="0.25">
      <c r="B111" s="464" t="s">
        <v>721</v>
      </c>
      <c r="C111" s="465"/>
      <c r="D111" s="465"/>
      <c r="E111" s="465"/>
      <c r="F111" s="465"/>
      <c r="G111" s="465"/>
      <c r="H111" s="465"/>
      <c r="I111" s="465"/>
      <c r="J111" s="465"/>
      <c r="K111" s="466"/>
      <c r="L111" s="487"/>
    </row>
    <row r="112" spans="2:12" s="462" customFormat="1" outlineLevel="2" x14ac:dyDescent="0.25">
      <c r="B112" s="88" t="s">
        <v>727</v>
      </c>
      <c r="C112" s="1499">
        <v>0</v>
      </c>
      <c r="D112" s="1499">
        <v>0</v>
      </c>
      <c r="E112" s="1499">
        <v>0</v>
      </c>
      <c r="F112" s="1499">
        <v>0</v>
      </c>
      <c r="G112" s="1500">
        <v>0</v>
      </c>
      <c r="H112" s="1501">
        <v>0</v>
      </c>
      <c r="I112" s="1501">
        <v>0</v>
      </c>
      <c r="J112" s="1499">
        <v>0</v>
      </c>
      <c r="K112" s="1502">
        <v>0</v>
      </c>
      <c r="L112" s="487"/>
    </row>
    <row r="113" spans="1:12" s="462" customFormat="1" outlineLevel="2" x14ac:dyDescent="0.25">
      <c r="B113" s="88" t="s">
        <v>728</v>
      </c>
      <c r="C113" s="1396">
        <v>0.17659018689072012</v>
      </c>
      <c r="D113" s="1396">
        <v>0.1391831450094162</v>
      </c>
      <c r="E113" s="1396">
        <v>0.13263848301837783</v>
      </c>
      <c r="F113" s="1396">
        <v>0.11012608353033886</v>
      </c>
      <c r="G113" s="1420">
        <v>7.8841217455078855E-2</v>
      </c>
      <c r="H113" s="1406">
        <v>4.6296296296296294E-2</v>
      </c>
      <c r="I113" s="1406">
        <v>0</v>
      </c>
      <c r="J113" s="1396">
        <v>6.9586516916482266E-2</v>
      </c>
      <c r="K113" s="1397">
        <v>9.5602294455066919E-2</v>
      </c>
      <c r="L113" s="487"/>
    </row>
    <row r="114" spans="1:12" s="462" customFormat="1" outlineLevel="2" x14ac:dyDescent="0.25">
      <c r="B114" s="88" t="s">
        <v>729</v>
      </c>
      <c r="C114" s="1396">
        <v>0.22140731217845597</v>
      </c>
      <c r="D114" s="1396">
        <v>0.17450667321706378</v>
      </c>
      <c r="E114" s="1396">
        <v>0.16630103027582255</v>
      </c>
      <c r="F114" s="1396">
        <v>0.13807517045259876</v>
      </c>
      <c r="G114" s="1420">
        <v>9.8850464756620599E-2</v>
      </c>
      <c r="H114" s="1406">
        <v>9.2592592592592587E-2</v>
      </c>
      <c r="I114" s="1406">
        <v>5.640157924421884E-2</v>
      </c>
      <c r="J114" s="1396">
        <v>0.13917303383296453</v>
      </c>
      <c r="K114" s="1397">
        <v>0</v>
      </c>
      <c r="L114" s="487"/>
    </row>
    <row r="115" spans="1:12" s="462" customFormat="1" outlineLevel="2" x14ac:dyDescent="0.25">
      <c r="B115" s="88" t="s">
        <v>730</v>
      </c>
      <c r="C115" s="1396">
        <v>0</v>
      </c>
      <c r="D115" s="1396">
        <v>0</v>
      </c>
      <c r="E115" s="1396">
        <v>0</v>
      </c>
      <c r="F115" s="1396">
        <v>0</v>
      </c>
      <c r="G115" s="1420">
        <v>0</v>
      </c>
      <c r="H115" s="1406">
        <v>0</v>
      </c>
      <c r="I115" s="1406">
        <v>0</v>
      </c>
      <c r="J115" s="1396">
        <v>0</v>
      </c>
      <c r="K115" s="1397">
        <v>0</v>
      </c>
      <c r="L115" s="487"/>
    </row>
    <row r="116" spans="1:12" s="462" customFormat="1" outlineLevel="2" x14ac:dyDescent="0.25">
      <c r="B116" s="88" t="s">
        <v>731</v>
      </c>
      <c r="C116" s="1396">
        <v>0.60690601136659006</v>
      </c>
      <c r="D116" s="1396">
        <v>0.47834530827806437</v>
      </c>
      <c r="E116" s="1396">
        <v>0.45585258218348451</v>
      </c>
      <c r="F116" s="1396">
        <v>0.37848185836159931</v>
      </c>
      <c r="G116" s="1420">
        <v>0.2709618787965753</v>
      </c>
      <c r="H116" s="1406">
        <v>0.13888888888888887</v>
      </c>
      <c r="I116" s="1406">
        <v>0.78962210941906374</v>
      </c>
      <c r="J116" s="1396">
        <v>0.2087595507494468</v>
      </c>
      <c r="K116" s="1397">
        <v>9.5602294455066919E-2</v>
      </c>
      <c r="L116" s="487"/>
    </row>
    <row r="117" spans="1:12" s="462" customFormat="1" outlineLevel="2" x14ac:dyDescent="0.25">
      <c r="B117" s="88" t="s">
        <v>732</v>
      </c>
      <c r="C117" s="1396">
        <v>0</v>
      </c>
      <c r="D117" s="1396">
        <v>0</v>
      </c>
      <c r="E117" s="1396">
        <v>0</v>
      </c>
      <c r="F117" s="1396">
        <v>0</v>
      </c>
      <c r="G117" s="1420">
        <v>0</v>
      </c>
      <c r="H117" s="1406">
        <v>0</v>
      </c>
      <c r="I117" s="1406">
        <v>0</v>
      </c>
      <c r="J117" s="1396">
        <v>0</v>
      </c>
      <c r="K117" s="1397">
        <v>0</v>
      </c>
      <c r="L117" s="521"/>
    </row>
    <row r="118" spans="1:12" s="462" customFormat="1" ht="15.75" outlineLevel="2" thickBot="1" x14ac:dyDescent="0.3">
      <c r="B118" s="623" t="s">
        <v>223</v>
      </c>
      <c r="C118" s="1400">
        <v>0.47352596120747192</v>
      </c>
      <c r="D118" s="1400">
        <v>0.37321911078359127</v>
      </c>
      <c r="E118" s="1400">
        <v>0.35566962281571085</v>
      </c>
      <c r="F118" s="1400">
        <v>0.29530270325829988</v>
      </c>
      <c r="G118" s="1421">
        <v>0.21141244559238534</v>
      </c>
      <c r="H118" s="1402">
        <v>0.13888888888888887</v>
      </c>
      <c r="I118" s="1402">
        <v>0.45121263395375072</v>
      </c>
      <c r="J118" s="1400">
        <v>0</v>
      </c>
      <c r="K118" s="1403">
        <v>0.28680688336520072</v>
      </c>
      <c r="L118" s="487"/>
    </row>
    <row r="119" spans="1:12" customFormat="1" ht="25.5" customHeight="1" outlineLevel="1" thickBot="1" x14ac:dyDescent="0.3">
      <c r="I119" s="1294"/>
    </row>
    <row r="120" spans="1:12" s="515" customFormat="1" ht="25.5" customHeight="1" outlineLevel="1" thickBot="1" x14ac:dyDescent="0.3">
      <c r="B120" s="308" t="s">
        <v>820</v>
      </c>
      <c r="C120" s="309"/>
      <c r="D120" s="309"/>
      <c r="E120" s="309"/>
      <c r="F120" s="309"/>
      <c r="G120" s="309"/>
      <c r="H120" s="309"/>
      <c r="I120" s="309"/>
      <c r="J120" s="309"/>
      <c r="K120" s="310"/>
      <c r="L120" s="432"/>
    </row>
    <row r="121" spans="1:12" s="91" customFormat="1" ht="24" customHeight="1" outlineLevel="2" x14ac:dyDescent="0.25">
      <c r="A121" s="493"/>
      <c r="B121" s="521"/>
      <c r="C121" s="1669" t="s">
        <v>701</v>
      </c>
      <c r="D121" s="1670"/>
      <c r="E121" s="1670"/>
      <c r="F121" s="1670"/>
      <c r="G121" s="1670"/>
      <c r="H121" s="1670"/>
      <c r="I121" s="1670"/>
      <c r="J121" s="1670"/>
      <c r="K121" s="1671"/>
      <c r="L121" s="521"/>
    </row>
    <row r="122" spans="1:12" s="91" customFormat="1" ht="24.75" customHeight="1" outlineLevel="2" x14ac:dyDescent="0.25">
      <c r="A122" s="493"/>
      <c r="B122" s="521"/>
      <c r="C122" s="1672" t="s">
        <v>783</v>
      </c>
      <c r="D122" s="1673"/>
      <c r="E122" s="1673"/>
      <c r="F122" s="1673"/>
      <c r="G122" s="1673"/>
      <c r="H122" s="1673"/>
      <c r="I122" s="1673"/>
      <c r="J122" s="1673"/>
      <c r="K122" s="1674"/>
      <c r="L122" s="521"/>
    </row>
    <row r="123" spans="1:12" s="91" customFormat="1" ht="18" customHeight="1" outlineLevel="2" thickBot="1" x14ac:dyDescent="0.3">
      <c r="A123" s="399"/>
      <c r="B123" s="504"/>
      <c r="C123" s="424">
        <f ca="1">dms_y1</f>
        <v>2011</v>
      </c>
      <c r="D123" s="425">
        <f ca="1">dms_y2</f>
        <v>2012</v>
      </c>
      <c r="E123" s="425">
        <f ca="1">dms_y3</f>
        <v>2013</v>
      </c>
      <c r="F123" s="425">
        <f ca="1">dms_y4</f>
        <v>2014</v>
      </c>
      <c r="G123" s="425">
        <f ca="1">dms_y5</f>
        <v>2015</v>
      </c>
      <c r="H123" s="426">
        <f ca="1">dms_y6</f>
        <v>2016</v>
      </c>
      <c r="I123" s="426">
        <f ca="1">dms_y7</f>
        <v>2017</v>
      </c>
      <c r="J123" s="426">
        <f ca="1">dms_y8</f>
        <v>2018</v>
      </c>
      <c r="K123" s="427">
        <f ca="1">dms_y9</f>
        <v>2019</v>
      </c>
      <c r="L123" s="521"/>
    </row>
    <row r="124" spans="1:12" s="462" customFormat="1" outlineLevel="2" x14ac:dyDescent="0.25">
      <c r="B124" s="464" t="s">
        <v>712</v>
      </c>
      <c r="C124" s="465"/>
      <c r="D124" s="465"/>
      <c r="E124" s="465"/>
      <c r="F124" s="465"/>
      <c r="G124" s="465"/>
      <c r="H124" s="465"/>
      <c r="I124" s="465"/>
      <c r="J124" s="465"/>
      <c r="K124" s="466"/>
      <c r="L124" s="487"/>
    </row>
    <row r="125" spans="1:12" s="462" customFormat="1" outlineLevel="2" x14ac:dyDescent="0.25">
      <c r="B125" s="88" t="s">
        <v>727</v>
      </c>
      <c r="C125" s="1499">
        <v>0.46560846560846569</v>
      </c>
      <c r="D125" s="1499">
        <v>0.34567901234567905</v>
      </c>
      <c r="E125" s="1499">
        <v>0.27513227513227517</v>
      </c>
      <c r="F125" s="1499">
        <v>0.25870646766169153</v>
      </c>
      <c r="G125" s="1500">
        <v>0.2715255448374419</v>
      </c>
      <c r="H125" s="1501">
        <v>0.59031877213695394</v>
      </c>
      <c r="I125" s="1501">
        <v>0</v>
      </c>
      <c r="J125" s="1499">
        <v>0</v>
      </c>
      <c r="K125" s="1502">
        <v>0</v>
      </c>
      <c r="L125" s="487"/>
    </row>
    <row r="126" spans="1:12" s="462" customFormat="1" outlineLevel="2" x14ac:dyDescent="0.25">
      <c r="B126" s="88" t="s">
        <v>728</v>
      </c>
      <c r="C126" s="1396">
        <v>0.23280423280423285</v>
      </c>
      <c r="D126" s="1396">
        <v>0.17283950617283952</v>
      </c>
      <c r="E126" s="1396">
        <v>0.13756613756613759</v>
      </c>
      <c r="F126" s="1396">
        <v>0.12935323383084577</v>
      </c>
      <c r="G126" s="1420">
        <v>0.13576277241872095</v>
      </c>
      <c r="H126" s="1406">
        <v>0.29515938606847697</v>
      </c>
      <c r="I126" s="1406">
        <v>0</v>
      </c>
      <c r="J126" s="1396">
        <v>0</v>
      </c>
      <c r="K126" s="1397">
        <v>0</v>
      </c>
      <c r="L126" s="487"/>
    </row>
    <row r="127" spans="1:12" s="462" customFormat="1" outlineLevel="2" x14ac:dyDescent="0.25">
      <c r="B127" s="88" t="s">
        <v>729</v>
      </c>
      <c r="C127" s="1396">
        <v>2.1469723691945917</v>
      </c>
      <c r="D127" s="1396">
        <v>1.5939643347050756</v>
      </c>
      <c r="E127" s="1396">
        <v>1.2686654908877133</v>
      </c>
      <c r="F127" s="1396">
        <v>1.1929242675511333</v>
      </c>
      <c r="G127" s="1420">
        <v>1.2520344567504267</v>
      </c>
      <c r="H127" s="1406">
        <v>0.59031877213695394</v>
      </c>
      <c r="I127" s="1406">
        <v>2.4242424242424243</v>
      </c>
      <c r="J127" s="1396">
        <v>0</v>
      </c>
      <c r="K127" s="1397">
        <v>1.4903129657228018</v>
      </c>
      <c r="L127" s="487"/>
    </row>
    <row r="128" spans="1:12" s="462" customFormat="1" outlineLevel="2" x14ac:dyDescent="0.25">
      <c r="B128" s="88" t="s">
        <v>730</v>
      </c>
      <c r="C128" s="1396">
        <v>0</v>
      </c>
      <c r="D128" s="1396">
        <v>0</v>
      </c>
      <c r="E128" s="1396">
        <v>0</v>
      </c>
      <c r="F128" s="1396">
        <v>0</v>
      </c>
      <c r="G128" s="1420">
        <v>0</v>
      </c>
      <c r="H128" s="1406">
        <v>0</v>
      </c>
      <c r="I128" s="1406">
        <v>0</v>
      </c>
      <c r="J128" s="1396">
        <v>0</v>
      </c>
      <c r="K128" s="1397">
        <v>0</v>
      </c>
      <c r="L128" s="487"/>
    </row>
    <row r="129" spans="2:12" s="462" customFormat="1" outlineLevel="2" x14ac:dyDescent="0.25">
      <c r="B129" s="88" t="s">
        <v>731</v>
      </c>
      <c r="C129" s="1396">
        <v>0.5173427395649618</v>
      </c>
      <c r="D129" s="1396">
        <v>0.38408779149519889</v>
      </c>
      <c r="E129" s="1396">
        <v>0.30570252792475017</v>
      </c>
      <c r="F129" s="1396">
        <v>0.28745163073521279</v>
      </c>
      <c r="G129" s="1420">
        <v>0.30169504981937995</v>
      </c>
      <c r="H129" s="1406">
        <v>0</v>
      </c>
      <c r="I129" s="1406">
        <v>2.4242424242424243</v>
      </c>
      <c r="J129" s="1396">
        <v>0</v>
      </c>
      <c r="K129" s="1397">
        <v>0</v>
      </c>
      <c r="L129" s="487"/>
    </row>
    <row r="130" spans="2:12" s="462" customFormat="1" outlineLevel="2" x14ac:dyDescent="0.25">
      <c r="B130" s="88" t="s">
        <v>732</v>
      </c>
      <c r="C130" s="1396">
        <v>0</v>
      </c>
      <c r="D130" s="1396">
        <v>0</v>
      </c>
      <c r="E130" s="1396">
        <v>0</v>
      </c>
      <c r="F130" s="1396">
        <v>0</v>
      </c>
      <c r="G130" s="1420">
        <v>0</v>
      </c>
      <c r="H130" s="1406">
        <v>0</v>
      </c>
      <c r="I130" s="1406">
        <v>0</v>
      </c>
      <c r="J130" s="1396">
        <v>0</v>
      </c>
      <c r="K130" s="1397">
        <v>0</v>
      </c>
      <c r="L130" s="521"/>
    </row>
    <row r="131" spans="2:12" s="462" customFormat="1" ht="15.75" outlineLevel="2" thickBot="1" x14ac:dyDescent="0.3">
      <c r="B131" s="88" t="s">
        <v>223</v>
      </c>
      <c r="C131" s="1400">
        <v>0.12933568489124045</v>
      </c>
      <c r="D131" s="1400">
        <v>9.6021947873799723E-2</v>
      </c>
      <c r="E131" s="1400">
        <v>7.6425631981187542E-2</v>
      </c>
      <c r="F131" s="1400">
        <v>7.1862907683803198E-2</v>
      </c>
      <c r="G131" s="1421">
        <v>7.5423762454844986E-2</v>
      </c>
      <c r="H131" s="1402">
        <v>0</v>
      </c>
      <c r="I131" s="1402">
        <v>0.60606060606060608</v>
      </c>
      <c r="J131" s="1400">
        <v>0</v>
      </c>
      <c r="K131" s="1403">
        <v>0</v>
      </c>
      <c r="L131" s="487"/>
    </row>
    <row r="132" spans="2:12" s="462" customFormat="1" outlineLevel="2" x14ac:dyDescent="0.25">
      <c r="B132" s="464" t="s">
        <v>713</v>
      </c>
      <c r="C132" s="465"/>
      <c r="D132" s="465"/>
      <c r="E132" s="465"/>
      <c r="F132" s="465"/>
      <c r="G132" s="465"/>
      <c r="H132" s="465"/>
      <c r="I132" s="465"/>
      <c r="J132" s="465"/>
      <c r="K132" s="466"/>
      <c r="L132" s="487"/>
    </row>
    <row r="133" spans="2:12" s="462" customFormat="1" outlineLevel="2" x14ac:dyDescent="0.25">
      <c r="B133" s="88" t="s">
        <v>727</v>
      </c>
      <c r="C133" s="1499">
        <v>0</v>
      </c>
      <c r="D133" s="1499">
        <v>0</v>
      </c>
      <c r="E133" s="1499">
        <v>0</v>
      </c>
      <c r="F133" s="1499">
        <v>0</v>
      </c>
      <c r="G133" s="1500">
        <v>0</v>
      </c>
      <c r="H133" s="1501">
        <v>0</v>
      </c>
      <c r="I133" s="1501">
        <v>0</v>
      </c>
      <c r="J133" s="1499">
        <v>0</v>
      </c>
      <c r="K133" s="1502">
        <v>0</v>
      </c>
      <c r="L133" s="487"/>
    </row>
    <row r="134" spans="2:12" s="462" customFormat="1" outlineLevel="2" x14ac:dyDescent="0.25">
      <c r="B134" s="88" t="s">
        <v>728</v>
      </c>
      <c r="C134" s="1396">
        <v>0</v>
      </c>
      <c r="D134" s="1396">
        <v>0</v>
      </c>
      <c r="E134" s="1396">
        <v>0</v>
      </c>
      <c r="F134" s="1396">
        <v>0</v>
      </c>
      <c r="G134" s="1420">
        <v>0</v>
      </c>
      <c r="H134" s="1406">
        <v>0</v>
      </c>
      <c r="I134" s="1406">
        <v>0</v>
      </c>
      <c r="J134" s="1396">
        <v>0</v>
      </c>
      <c r="K134" s="1397">
        <v>0</v>
      </c>
      <c r="L134" s="487"/>
    </row>
    <row r="135" spans="2:12" s="462" customFormat="1" outlineLevel="2" x14ac:dyDescent="0.25">
      <c r="B135" s="88" t="s">
        <v>729</v>
      </c>
      <c r="C135" s="1396">
        <v>0</v>
      </c>
      <c r="D135" s="1396">
        <v>0</v>
      </c>
      <c r="E135" s="1396">
        <v>0</v>
      </c>
      <c r="F135" s="1396">
        <v>0</v>
      </c>
      <c r="G135" s="1420">
        <v>0</v>
      </c>
      <c r="H135" s="1406">
        <v>0</v>
      </c>
      <c r="I135" s="1406">
        <v>0</v>
      </c>
      <c r="J135" s="1396">
        <v>0</v>
      </c>
      <c r="K135" s="1397">
        <v>0</v>
      </c>
      <c r="L135" s="487"/>
    </row>
    <row r="136" spans="2:12" s="462" customFormat="1" outlineLevel="2" x14ac:dyDescent="0.25">
      <c r="B136" s="88" t="s">
        <v>730</v>
      </c>
      <c r="C136" s="1396">
        <v>0</v>
      </c>
      <c r="D136" s="1396">
        <v>0</v>
      </c>
      <c r="E136" s="1396">
        <v>0</v>
      </c>
      <c r="F136" s="1396">
        <v>0</v>
      </c>
      <c r="G136" s="1420">
        <v>0</v>
      </c>
      <c r="H136" s="1406">
        <v>0</v>
      </c>
      <c r="I136" s="1406">
        <v>0</v>
      </c>
      <c r="J136" s="1396">
        <v>0</v>
      </c>
      <c r="K136" s="1397">
        <v>0</v>
      </c>
      <c r="L136" s="487"/>
    </row>
    <row r="137" spans="2:12" s="462" customFormat="1" outlineLevel="2" x14ac:dyDescent="0.25">
      <c r="B137" s="88" t="s">
        <v>731</v>
      </c>
      <c r="C137" s="1396">
        <v>0</v>
      </c>
      <c r="D137" s="1396">
        <v>0</v>
      </c>
      <c r="E137" s="1396">
        <v>0</v>
      </c>
      <c r="F137" s="1396">
        <v>0</v>
      </c>
      <c r="G137" s="1420">
        <v>0</v>
      </c>
      <c r="H137" s="1406">
        <v>0</v>
      </c>
      <c r="I137" s="1406">
        <v>0</v>
      </c>
      <c r="J137" s="1396">
        <v>0</v>
      </c>
      <c r="K137" s="1397">
        <v>0</v>
      </c>
      <c r="L137" s="487"/>
    </row>
    <row r="138" spans="2:12" s="462" customFormat="1" outlineLevel="2" x14ac:dyDescent="0.25">
      <c r="B138" s="88" t="s">
        <v>732</v>
      </c>
      <c r="C138" s="1396">
        <v>0</v>
      </c>
      <c r="D138" s="1396">
        <v>0</v>
      </c>
      <c r="E138" s="1396">
        <v>0</v>
      </c>
      <c r="F138" s="1396">
        <v>0</v>
      </c>
      <c r="G138" s="1420">
        <v>0</v>
      </c>
      <c r="H138" s="1406">
        <v>0</v>
      </c>
      <c r="I138" s="1406">
        <v>0</v>
      </c>
      <c r="J138" s="1396">
        <v>0</v>
      </c>
      <c r="K138" s="1397">
        <v>0</v>
      </c>
      <c r="L138" s="521"/>
    </row>
    <row r="139" spans="2:12" s="462" customFormat="1" ht="15.75" outlineLevel="2" thickBot="1" x14ac:dyDescent="0.3">
      <c r="B139" s="88" t="s">
        <v>223</v>
      </c>
      <c r="C139" s="1400">
        <v>0</v>
      </c>
      <c r="D139" s="1400">
        <v>0</v>
      </c>
      <c r="E139" s="1400">
        <v>0</v>
      </c>
      <c r="F139" s="1400">
        <v>0</v>
      </c>
      <c r="G139" s="1421">
        <v>0</v>
      </c>
      <c r="H139" s="1402">
        <v>0</v>
      </c>
      <c r="I139" s="1402">
        <v>0</v>
      </c>
      <c r="J139" s="1400">
        <v>0</v>
      </c>
      <c r="K139" s="1403">
        <v>0</v>
      </c>
      <c r="L139" s="487"/>
    </row>
    <row r="140" spans="2:12" s="462" customFormat="1" outlineLevel="2" x14ac:dyDescent="0.25">
      <c r="B140" s="464" t="s">
        <v>714</v>
      </c>
      <c r="C140" s="465"/>
      <c r="D140" s="465"/>
      <c r="E140" s="465"/>
      <c r="F140" s="465"/>
      <c r="G140" s="465"/>
      <c r="H140" s="465"/>
      <c r="I140" s="465"/>
      <c r="J140" s="465"/>
      <c r="K140" s="466"/>
      <c r="L140" s="487"/>
    </row>
    <row r="141" spans="2:12" s="462" customFormat="1" outlineLevel="2" x14ac:dyDescent="0.25">
      <c r="B141" s="88" t="s">
        <v>727</v>
      </c>
      <c r="C141" s="1499">
        <v>0</v>
      </c>
      <c r="D141" s="1499">
        <v>0</v>
      </c>
      <c r="E141" s="1499">
        <v>0</v>
      </c>
      <c r="F141" s="1499">
        <v>0</v>
      </c>
      <c r="G141" s="1500">
        <v>0</v>
      </c>
      <c r="H141" s="1501">
        <v>0</v>
      </c>
      <c r="I141" s="1501">
        <v>0</v>
      </c>
      <c r="J141" s="1499">
        <v>0</v>
      </c>
      <c r="K141" s="1502">
        <v>0</v>
      </c>
      <c r="L141" s="487"/>
    </row>
    <row r="142" spans="2:12" s="462" customFormat="1" outlineLevel="2" x14ac:dyDescent="0.25">
      <c r="B142" s="88" t="s">
        <v>728</v>
      </c>
      <c r="C142" s="1396">
        <v>0</v>
      </c>
      <c r="D142" s="1396">
        <v>0</v>
      </c>
      <c r="E142" s="1396">
        <v>0</v>
      </c>
      <c r="F142" s="1396">
        <v>0</v>
      </c>
      <c r="G142" s="1420">
        <v>0</v>
      </c>
      <c r="H142" s="1406">
        <v>0</v>
      </c>
      <c r="I142" s="1406">
        <v>0</v>
      </c>
      <c r="J142" s="1396">
        <v>0</v>
      </c>
      <c r="K142" s="1397">
        <v>0</v>
      </c>
      <c r="L142" s="487"/>
    </row>
    <row r="143" spans="2:12" s="462" customFormat="1" outlineLevel="2" x14ac:dyDescent="0.25">
      <c r="B143" s="88" t="s">
        <v>729</v>
      </c>
      <c r="C143" s="1396">
        <v>0</v>
      </c>
      <c r="D143" s="1396">
        <v>0</v>
      </c>
      <c r="E143" s="1396">
        <v>0</v>
      </c>
      <c r="F143" s="1396">
        <v>0</v>
      </c>
      <c r="G143" s="1420">
        <v>0</v>
      </c>
      <c r="H143" s="1406">
        <v>0</v>
      </c>
      <c r="I143" s="1406">
        <v>0</v>
      </c>
      <c r="J143" s="1396">
        <v>0</v>
      </c>
      <c r="K143" s="1397">
        <v>0</v>
      </c>
      <c r="L143" s="487"/>
    </row>
    <row r="144" spans="2:12" s="462" customFormat="1" outlineLevel="2" x14ac:dyDescent="0.25">
      <c r="B144" s="88" t="s">
        <v>730</v>
      </c>
      <c r="C144" s="1396">
        <v>0</v>
      </c>
      <c r="D144" s="1396">
        <v>0</v>
      </c>
      <c r="E144" s="1396">
        <v>0</v>
      </c>
      <c r="F144" s="1396">
        <v>0</v>
      </c>
      <c r="G144" s="1420">
        <v>0</v>
      </c>
      <c r="H144" s="1406">
        <v>0</v>
      </c>
      <c r="I144" s="1406">
        <v>0</v>
      </c>
      <c r="J144" s="1396">
        <v>0</v>
      </c>
      <c r="K144" s="1397">
        <v>0</v>
      </c>
      <c r="L144" s="487"/>
    </row>
    <row r="145" spans="2:12" s="462" customFormat="1" outlineLevel="2" x14ac:dyDescent="0.25">
      <c r="B145" s="88" t="s">
        <v>731</v>
      </c>
      <c r="C145" s="1396">
        <v>0</v>
      </c>
      <c r="D145" s="1396">
        <v>0</v>
      </c>
      <c r="E145" s="1396">
        <v>0</v>
      </c>
      <c r="F145" s="1396">
        <v>0</v>
      </c>
      <c r="G145" s="1420">
        <v>0</v>
      </c>
      <c r="H145" s="1406">
        <v>0</v>
      </c>
      <c r="I145" s="1406">
        <v>0</v>
      </c>
      <c r="J145" s="1396">
        <v>0</v>
      </c>
      <c r="K145" s="1397">
        <v>0</v>
      </c>
      <c r="L145" s="487"/>
    </row>
    <row r="146" spans="2:12" s="462" customFormat="1" outlineLevel="2" x14ac:dyDescent="0.25">
      <c r="B146" s="88" t="s">
        <v>732</v>
      </c>
      <c r="C146" s="1396">
        <v>0</v>
      </c>
      <c r="D146" s="1396">
        <v>0</v>
      </c>
      <c r="E146" s="1396">
        <v>0</v>
      </c>
      <c r="F146" s="1396">
        <v>0</v>
      </c>
      <c r="G146" s="1420">
        <v>0</v>
      </c>
      <c r="H146" s="1406">
        <v>0</v>
      </c>
      <c r="I146" s="1406">
        <v>0</v>
      </c>
      <c r="J146" s="1396">
        <v>0</v>
      </c>
      <c r="K146" s="1397">
        <v>0</v>
      </c>
      <c r="L146" s="521"/>
    </row>
    <row r="147" spans="2:12" s="462" customFormat="1" ht="15.75" outlineLevel="2" thickBot="1" x14ac:dyDescent="0.3">
      <c r="B147" s="88" t="s">
        <v>223</v>
      </c>
      <c r="C147" s="1400">
        <v>0</v>
      </c>
      <c r="D147" s="1400">
        <v>0</v>
      </c>
      <c r="E147" s="1400">
        <v>0</v>
      </c>
      <c r="F147" s="1400">
        <v>0</v>
      </c>
      <c r="G147" s="1421">
        <v>0</v>
      </c>
      <c r="H147" s="1402">
        <v>0</v>
      </c>
      <c r="I147" s="1402">
        <v>0</v>
      </c>
      <c r="J147" s="1400">
        <v>0</v>
      </c>
      <c r="K147" s="1403">
        <v>0</v>
      </c>
      <c r="L147" s="487"/>
    </row>
    <row r="148" spans="2:12" s="462" customFormat="1" outlineLevel="2" x14ac:dyDescent="0.25">
      <c r="B148" s="464" t="s">
        <v>715</v>
      </c>
      <c r="C148" s="465"/>
      <c r="D148" s="465"/>
      <c r="E148" s="465"/>
      <c r="F148" s="465"/>
      <c r="G148" s="465"/>
      <c r="H148" s="465"/>
      <c r="I148" s="465"/>
      <c r="J148" s="465"/>
      <c r="K148" s="466"/>
      <c r="L148" s="487"/>
    </row>
    <row r="149" spans="2:12" s="462" customFormat="1" outlineLevel="2" x14ac:dyDescent="0.25">
      <c r="B149" s="88" t="s">
        <v>727</v>
      </c>
      <c r="C149" s="1499">
        <v>0</v>
      </c>
      <c r="D149" s="1499">
        <v>0</v>
      </c>
      <c r="E149" s="1499">
        <v>0</v>
      </c>
      <c r="F149" s="1499">
        <v>0</v>
      </c>
      <c r="G149" s="1500">
        <v>0</v>
      </c>
      <c r="H149" s="1501">
        <v>0</v>
      </c>
      <c r="I149" s="1501">
        <v>0</v>
      </c>
      <c r="J149" s="1499">
        <v>0</v>
      </c>
      <c r="K149" s="1502">
        <v>0</v>
      </c>
      <c r="L149" s="487"/>
    </row>
    <row r="150" spans="2:12" s="462" customFormat="1" outlineLevel="2" x14ac:dyDescent="0.25">
      <c r="B150" s="88" t="s">
        <v>728</v>
      </c>
      <c r="C150" s="1396">
        <v>0</v>
      </c>
      <c r="D150" s="1396">
        <v>0</v>
      </c>
      <c r="E150" s="1396">
        <v>0</v>
      </c>
      <c r="F150" s="1396">
        <v>0</v>
      </c>
      <c r="G150" s="1420">
        <v>0</v>
      </c>
      <c r="H150" s="1406">
        <v>0</v>
      </c>
      <c r="I150" s="1406">
        <v>0</v>
      </c>
      <c r="J150" s="1396">
        <v>0</v>
      </c>
      <c r="K150" s="1397">
        <v>0</v>
      </c>
      <c r="L150" s="487"/>
    </row>
    <row r="151" spans="2:12" s="462" customFormat="1" outlineLevel="2" x14ac:dyDescent="0.25">
      <c r="B151" s="88" t="s">
        <v>729</v>
      </c>
      <c r="C151" s="1396">
        <v>0.10683760683760685</v>
      </c>
      <c r="D151" s="1396">
        <v>5.2115905774442361E-2</v>
      </c>
      <c r="E151" s="1396">
        <v>0.14688601645123384</v>
      </c>
      <c r="F151" s="1396">
        <v>4.9019607843137254E-2</v>
      </c>
      <c r="G151" s="1420">
        <v>0</v>
      </c>
      <c r="H151" s="1406">
        <v>5.8411214953271028E-2</v>
      </c>
      <c r="I151" s="1406">
        <v>5.8501085195130378E-2</v>
      </c>
      <c r="J151" s="1396">
        <v>0</v>
      </c>
      <c r="K151" s="1397">
        <v>0</v>
      </c>
      <c r="L151" s="487"/>
    </row>
    <row r="152" spans="2:12" s="462" customFormat="1" outlineLevel="2" x14ac:dyDescent="0.25">
      <c r="B152" s="88" t="s">
        <v>730</v>
      </c>
      <c r="C152" s="1396">
        <v>0</v>
      </c>
      <c r="D152" s="1396">
        <v>0</v>
      </c>
      <c r="E152" s="1396">
        <v>0</v>
      </c>
      <c r="F152" s="1396">
        <v>0</v>
      </c>
      <c r="G152" s="1420">
        <v>0</v>
      </c>
      <c r="H152" s="1406">
        <v>0</v>
      </c>
      <c r="I152" s="1406">
        <v>0</v>
      </c>
      <c r="J152" s="1396">
        <v>0</v>
      </c>
      <c r="K152" s="1397">
        <v>0</v>
      </c>
      <c r="L152" s="487"/>
    </row>
    <row r="153" spans="2:12" s="462" customFormat="1" outlineLevel="2" x14ac:dyDescent="0.25">
      <c r="B153" s="88" t="s">
        <v>731</v>
      </c>
      <c r="C153" s="1396">
        <v>0.1495726495726496</v>
      </c>
      <c r="D153" s="1396">
        <v>7.2962268084219309E-2</v>
      </c>
      <c r="E153" s="1396">
        <v>0.20564042303172739</v>
      </c>
      <c r="F153" s="1396">
        <v>6.8627450980392163E-2</v>
      </c>
      <c r="G153" s="1420">
        <v>0</v>
      </c>
      <c r="H153" s="1406">
        <v>0</v>
      </c>
      <c r="I153" s="1406">
        <v>0.17550325558539112</v>
      </c>
      <c r="J153" s="1396">
        <v>5.8501085195130378E-2</v>
      </c>
      <c r="K153" s="1397">
        <v>0</v>
      </c>
      <c r="L153" s="487"/>
    </row>
    <row r="154" spans="2:12" s="462" customFormat="1" outlineLevel="2" x14ac:dyDescent="0.25">
      <c r="B154" s="88" t="s">
        <v>732</v>
      </c>
      <c r="C154" s="1396">
        <v>0</v>
      </c>
      <c r="D154" s="1396">
        <v>0</v>
      </c>
      <c r="E154" s="1396">
        <v>0</v>
      </c>
      <c r="F154" s="1396">
        <v>0</v>
      </c>
      <c r="G154" s="1420">
        <v>0</v>
      </c>
      <c r="H154" s="1406">
        <v>0</v>
      </c>
      <c r="I154" s="1406">
        <v>0</v>
      </c>
      <c r="J154" s="1396">
        <v>0</v>
      </c>
      <c r="K154" s="1397">
        <v>0</v>
      </c>
      <c r="L154" s="521"/>
    </row>
    <row r="155" spans="2:12" s="462" customFormat="1" ht="15.75" outlineLevel="2" thickBot="1" x14ac:dyDescent="0.3">
      <c r="B155" s="88" t="s">
        <v>223</v>
      </c>
      <c r="C155" s="1400">
        <v>0</v>
      </c>
      <c r="D155" s="1400">
        <v>0</v>
      </c>
      <c r="E155" s="1400">
        <v>0</v>
      </c>
      <c r="F155" s="1400">
        <v>0</v>
      </c>
      <c r="G155" s="1421">
        <v>0</v>
      </c>
      <c r="H155" s="1402">
        <v>0</v>
      </c>
      <c r="I155" s="1402">
        <v>0</v>
      </c>
      <c r="J155" s="1400">
        <v>0</v>
      </c>
      <c r="K155" s="1403">
        <v>0</v>
      </c>
      <c r="L155" s="487"/>
    </row>
    <row r="156" spans="2:12" s="462" customFormat="1" outlineLevel="2" x14ac:dyDescent="0.25">
      <c r="B156" s="464" t="s">
        <v>716</v>
      </c>
      <c r="C156" s="465"/>
      <c r="D156" s="465"/>
      <c r="E156" s="465"/>
      <c r="F156" s="465"/>
      <c r="G156" s="465"/>
      <c r="H156" s="465"/>
      <c r="I156" s="465"/>
      <c r="J156" s="465"/>
      <c r="K156" s="466"/>
      <c r="L156" s="487"/>
    </row>
    <row r="157" spans="2:12" s="462" customFormat="1" outlineLevel="2" x14ac:dyDescent="0.25">
      <c r="B157" s="88" t="s">
        <v>727</v>
      </c>
      <c r="C157" s="1499">
        <v>0</v>
      </c>
      <c r="D157" s="1499">
        <v>0</v>
      </c>
      <c r="E157" s="1499">
        <v>0</v>
      </c>
      <c r="F157" s="1499">
        <v>0</v>
      </c>
      <c r="G157" s="1500">
        <v>0</v>
      </c>
      <c r="H157" s="1501">
        <v>0</v>
      </c>
      <c r="I157" s="1501">
        <v>0</v>
      </c>
      <c r="J157" s="1499">
        <v>0</v>
      </c>
      <c r="K157" s="1502">
        <v>0</v>
      </c>
      <c r="L157" s="487"/>
    </row>
    <row r="158" spans="2:12" s="462" customFormat="1" outlineLevel="2" x14ac:dyDescent="0.25">
      <c r="B158" s="88" t="s">
        <v>728</v>
      </c>
      <c r="C158" s="1396">
        <v>0</v>
      </c>
      <c r="D158" s="1396">
        <v>0</v>
      </c>
      <c r="E158" s="1396">
        <v>0</v>
      </c>
      <c r="F158" s="1396">
        <v>0</v>
      </c>
      <c r="G158" s="1420">
        <v>0</v>
      </c>
      <c r="H158" s="1406">
        <v>0</v>
      </c>
      <c r="I158" s="1406">
        <v>0</v>
      </c>
      <c r="J158" s="1396">
        <v>0</v>
      </c>
      <c r="K158" s="1397">
        <v>0</v>
      </c>
      <c r="L158" s="487"/>
    </row>
    <row r="159" spans="2:12" s="462" customFormat="1" outlineLevel="2" x14ac:dyDescent="0.25">
      <c r="B159" s="88" t="s">
        <v>729</v>
      </c>
      <c r="C159" s="1396">
        <v>0</v>
      </c>
      <c r="D159" s="1396">
        <v>0</v>
      </c>
      <c r="E159" s="1396">
        <v>0</v>
      </c>
      <c r="F159" s="1396">
        <v>0</v>
      </c>
      <c r="G159" s="1420">
        <v>0</v>
      </c>
      <c r="H159" s="1406">
        <v>0</v>
      </c>
      <c r="I159" s="1406">
        <v>0</v>
      </c>
      <c r="J159" s="1396">
        <v>0</v>
      </c>
      <c r="K159" s="1397">
        <v>0</v>
      </c>
      <c r="L159" s="487"/>
    </row>
    <row r="160" spans="2:12" s="462" customFormat="1" outlineLevel="2" x14ac:dyDescent="0.25">
      <c r="B160" s="88" t="s">
        <v>730</v>
      </c>
      <c r="C160" s="1396">
        <v>0</v>
      </c>
      <c r="D160" s="1396">
        <v>0</v>
      </c>
      <c r="E160" s="1396">
        <v>0</v>
      </c>
      <c r="F160" s="1396">
        <v>0</v>
      </c>
      <c r="G160" s="1420">
        <v>0</v>
      </c>
      <c r="H160" s="1406">
        <v>0</v>
      </c>
      <c r="I160" s="1406">
        <v>0</v>
      </c>
      <c r="J160" s="1396">
        <v>0</v>
      </c>
      <c r="K160" s="1397">
        <v>0</v>
      </c>
      <c r="L160" s="487"/>
    </row>
    <row r="161" spans="2:12" s="462" customFormat="1" outlineLevel="2" x14ac:dyDescent="0.25">
      <c r="B161" s="88" t="s">
        <v>731</v>
      </c>
      <c r="C161" s="1396">
        <v>0</v>
      </c>
      <c r="D161" s="1396">
        <v>0</v>
      </c>
      <c r="E161" s="1396">
        <v>0</v>
      </c>
      <c r="F161" s="1396">
        <v>0</v>
      </c>
      <c r="G161" s="1420">
        <v>0</v>
      </c>
      <c r="H161" s="1406">
        <v>0</v>
      </c>
      <c r="I161" s="1406">
        <v>0.82661706964248804</v>
      </c>
      <c r="J161" s="1396">
        <v>0</v>
      </c>
      <c r="K161" s="1397">
        <v>0</v>
      </c>
      <c r="L161" s="487"/>
    </row>
    <row r="162" spans="2:12" s="462" customFormat="1" outlineLevel="2" x14ac:dyDescent="0.25">
      <c r="B162" s="88" t="s">
        <v>732</v>
      </c>
      <c r="C162" s="1396">
        <v>0</v>
      </c>
      <c r="D162" s="1396">
        <v>0</v>
      </c>
      <c r="E162" s="1396">
        <v>0</v>
      </c>
      <c r="F162" s="1396">
        <v>0</v>
      </c>
      <c r="G162" s="1420">
        <v>0</v>
      </c>
      <c r="H162" s="1406">
        <v>0</v>
      </c>
      <c r="I162" s="1406">
        <v>0</v>
      </c>
      <c r="J162" s="1396">
        <v>0</v>
      </c>
      <c r="K162" s="1397">
        <v>0</v>
      </c>
      <c r="L162" s="521"/>
    </row>
    <row r="163" spans="2:12" s="462" customFormat="1" ht="15.75" outlineLevel="2" thickBot="1" x14ac:dyDescent="0.3">
      <c r="B163" s="88" t="s">
        <v>223</v>
      </c>
      <c r="C163" s="1400">
        <v>0</v>
      </c>
      <c r="D163" s="1400">
        <v>0</v>
      </c>
      <c r="E163" s="1400">
        <v>0</v>
      </c>
      <c r="F163" s="1400">
        <v>0</v>
      </c>
      <c r="G163" s="1421">
        <v>0</v>
      </c>
      <c r="H163" s="1402">
        <v>0</v>
      </c>
      <c r="I163" s="1402">
        <v>0</v>
      </c>
      <c r="J163" s="1400">
        <v>0</v>
      </c>
      <c r="K163" s="1403">
        <v>0</v>
      </c>
      <c r="L163" s="487"/>
    </row>
    <row r="164" spans="2:12" s="462" customFormat="1" outlineLevel="2" x14ac:dyDescent="0.25">
      <c r="B164" s="464" t="s">
        <v>717</v>
      </c>
      <c r="C164" s="465"/>
      <c r="D164" s="465"/>
      <c r="E164" s="465"/>
      <c r="F164" s="465"/>
      <c r="G164" s="465"/>
      <c r="H164" s="465"/>
      <c r="I164" s="465"/>
      <c r="J164" s="465"/>
      <c r="K164" s="466"/>
      <c r="L164" s="487"/>
    </row>
    <row r="165" spans="2:12" s="462" customFormat="1" outlineLevel="2" x14ac:dyDescent="0.25">
      <c r="B165" s="88" t="s">
        <v>727</v>
      </c>
      <c r="C165" s="1499">
        <v>0</v>
      </c>
      <c r="D165" s="1499">
        <v>0</v>
      </c>
      <c r="E165" s="1499">
        <v>0</v>
      </c>
      <c r="F165" s="1499">
        <v>0</v>
      </c>
      <c r="G165" s="1500">
        <v>0</v>
      </c>
      <c r="H165" s="1501">
        <v>0</v>
      </c>
      <c r="I165" s="1501">
        <v>0</v>
      </c>
      <c r="J165" s="1499">
        <v>0</v>
      </c>
      <c r="K165" s="1502">
        <v>0</v>
      </c>
      <c r="L165" s="487"/>
    </row>
    <row r="166" spans="2:12" s="462" customFormat="1" outlineLevel="2" x14ac:dyDescent="0.25">
      <c r="B166" s="88" t="s">
        <v>728</v>
      </c>
      <c r="C166" s="1396">
        <v>0</v>
      </c>
      <c r="D166" s="1396">
        <v>0</v>
      </c>
      <c r="E166" s="1396">
        <v>0</v>
      </c>
      <c r="F166" s="1396">
        <v>0</v>
      </c>
      <c r="G166" s="1420">
        <v>0</v>
      </c>
      <c r="H166" s="1406">
        <v>0</v>
      </c>
      <c r="I166" s="1406">
        <v>0</v>
      </c>
      <c r="J166" s="1396">
        <v>0</v>
      </c>
      <c r="K166" s="1397">
        <v>0</v>
      </c>
      <c r="L166" s="487"/>
    </row>
    <row r="167" spans="2:12" s="462" customFormat="1" outlineLevel="2" x14ac:dyDescent="0.25">
      <c r="B167" s="88" t="s">
        <v>729</v>
      </c>
      <c r="C167" s="1396">
        <v>6.9393325972273337E-2</v>
      </c>
      <c r="D167" s="1396">
        <v>0.1226774869866975</v>
      </c>
      <c r="E167" s="1396">
        <v>8.4437065803956157E-2</v>
      </c>
      <c r="F167" s="1396">
        <v>7.3094773382529218E-2</v>
      </c>
      <c r="G167" s="1420">
        <v>1.5123056561902597E-2</v>
      </c>
      <c r="H167" s="1406">
        <v>0</v>
      </c>
      <c r="I167" s="1406">
        <v>0.18999022907393334</v>
      </c>
      <c r="J167" s="1396">
        <v>2.855511136493432E-2</v>
      </c>
      <c r="K167" s="1397">
        <v>6.9156293222683254E-2</v>
      </c>
      <c r="L167" s="487"/>
    </row>
    <row r="168" spans="2:12" s="462" customFormat="1" outlineLevel="2" x14ac:dyDescent="0.25">
      <c r="B168" s="88" t="s">
        <v>730</v>
      </c>
      <c r="C168" s="1396">
        <v>0</v>
      </c>
      <c r="D168" s="1396">
        <v>0</v>
      </c>
      <c r="E168" s="1396">
        <v>0</v>
      </c>
      <c r="F168" s="1396">
        <v>0</v>
      </c>
      <c r="G168" s="1420">
        <v>0</v>
      </c>
      <c r="H168" s="1406">
        <v>0</v>
      </c>
      <c r="I168" s="1406">
        <v>0</v>
      </c>
      <c r="J168" s="1396">
        <v>0</v>
      </c>
      <c r="K168" s="1397">
        <v>0</v>
      </c>
      <c r="L168" s="487"/>
    </row>
    <row r="169" spans="2:12" s="462" customFormat="1" outlineLevel="2" x14ac:dyDescent="0.25">
      <c r="B169" s="88" t="s">
        <v>731</v>
      </c>
      <c r="C169" s="1396">
        <v>1.3153330587541114</v>
      </c>
      <c r="D169" s="1396">
        <v>2.3253209431545896</v>
      </c>
      <c r="E169" s="1396">
        <v>1.600483367528974</v>
      </c>
      <c r="F169" s="1396">
        <v>1.3854930644280672</v>
      </c>
      <c r="G169" s="1420">
        <v>0.28665373746787592</v>
      </c>
      <c r="H169" s="1406">
        <v>0.89974293059125965</v>
      </c>
      <c r="I169" s="1406">
        <v>2.0627510585169904</v>
      </c>
      <c r="J169" s="1396">
        <v>0.51399200456881777</v>
      </c>
      <c r="K169" s="1397">
        <v>1.0373443983402488</v>
      </c>
      <c r="L169" s="487"/>
    </row>
    <row r="170" spans="2:12" s="462" customFormat="1" outlineLevel="2" x14ac:dyDescent="0.25">
      <c r="B170" s="88" t="s">
        <v>732</v>
      </c>
      <c r="C170" s="1396">
        <v>0</v>
      </c>
      <c r="D170" s="1396">
        <v>0</v>
      </c>
      <c r="E170" s="1396">
        <v>0</v>
      </c>
      <c r="F170" s="1396">
        <v>0</v>
      </c>
      <c r="G170" s="1420">
        <v>0</v>
      </c>
      <c r="H170" s="1406">
        <v>0</v>
      </c>
      <c r="I170" s="1406">
        <v>0</v>
      </c>
      <c r="J170" s="1396">
        <v>0</v>
      </c>
      <c r="K170" s="1397">
        <v>0</v>
      </c>
      <c r="L170" s="521"/>
    </row>
    <row r="171" spans="2:12" s="462" customFormat="1" ht="15.75" outlineLevel="2" thickBot="1" x14ac:dyDescent="0.3">
      <c r="B171" s="88" t="s">
        <v>223</v>
      </c>
      <c r="C171" s="1400">
        <v>1.3875013875013876E-2</v>
      </c>
      <c r="D171" s="1400">
        <v>2.4529042386185241E-2</v>
      </c>
      <c r="E171" s="1400">
        <v>1.6882970273877057E-2</v>
      </c>
      <c r="F171" s="1400">
        <v>1.4615108595296555E-2</v>
      </c>
      <c r="G171" s="1421">
        <v>3.0238155714406669E-3</v>
      </c>
      <c r="H171" s="1402">
        <v>2.570694087403599E-2</v>
      </c>
      <c r="I171" s="1402">
        <v>2.714146129627619E-2</v>
      </c>
      <c r="J171" s="1400">
        <v>0</v>
      </c>
      <c r="K171" s="1403">
        <v>0</v>
      </c>
      <c r="L171" s="487"/>
    </row>
    <row r="172" spans="2:12" s="462" customFormat="1" outlineLevel="2" x14ac:dyDescent="0.25">
      <c r="B172" s="464" t="s">
        <v>718</v>
      </c>
      <c r="C172" s="465"/>
      <c r="D172" s="465"/>
      <c r="E172" s="465"/>
      <c r="F172" s="465"/>
      <c r="G172" s="465"/>
      <c r="H172" s="465"/>
      <c r="I172" s="465"/>
      <c r="J172" s="465"/>
      <c r="K172" s="466"/>
      <c r="L172" s="487"/>
    </row>
    <row r="173" spans="2:12" s="462" customFormat="1" outlineLevel="2" x14ac:dyDescent="0.25">
      <c r="B173" s="88" t="s">
        <v>727</v>
      </c>
      <c r="C173" s="1499">
        <v>0</v>
      </c>
      <c r="D173" s="1499">
        <v>0</v>
      </c>
      <c r="E173" s="1499">
        <v>0</v>
      </c>
      <c r="F173" s="1499">
        <v>0</v>
      </c>
      <c r="G173" s="1500">
        <v>0</v>
      </c>
      <c r="H173" s="1501">
        <v>0</v>
      </c>
      <c r="I173" s="1501">
        <v>0</v>
      </c>
      <c r="J173" s="1499">
        <v>0</v>
      </c>
      <c r="K173" s="1502">
        <v>0</v>
      </c>
      <c r="L173" s="487"/>
    </row>
    <row r="174" spans="2:12" s="462" customFormat="1" outlineLevel="2" x14ac:dyDescent="0.25">
      <c r="B174" s="88" t="s">
        <v>728</v>
      </c>
      <c r="C174" s="1396">
        <v>0</v>
      </c>
      <c r="D174" s="1396">
        <v>0</v>
      </c>
      <c r="E174" s="1396">
        <v>0</v>
      </c>
      <c r="F174" s="1396">
        <v>0</v>
      </c>
      <c r="G174" s="1420">
        <v>0</v>
      </c>
      <c r="H174" s="1406">
        <v>0</v>
      </c>
      <c r="I174" s="1406">
        <v>0</v>
      </c>
      <c r="J174" s="1396">
        <v>0</v>
      </c>
      <c r="K174" s="1397">
        <v>0</v>
      </c>
      <c r="L174" s="487"/>
    </row>
    <row r="175" spans="2:12" s="462" customFormat="1" outlineLevel="2" x14ac:dyDescent="0.25">
      <c r="B175" s="88" t="s">
        <v>729</v>
      </c>
      <c r="C175" s="1396">
        <v>6.1506938857602562E-2</v>
      </c>
      <c r="D175" s="1396">
        <v>7.1758095333869662E-2</v>
      </c>
      <c r="E175" s="1396">
        <v>6.7221172265072779E-2</v>
      </c>
      <c r="F175" s="1396">
        <v>8.2222995215841657E-2</v>
      </c>
      <c r="G175" s="1420">
        <v>2.8128837318395671E-2</v>
      </c>
      <c r="H175" s="1406">
        <v>1.6733601070950468E-2</v>
      </c>
      <c r="I175" s="1406">
        <v>8.3778757058360284E-2</v>
      </c>
      <c r="J175" s="1396">
        <v>1.1260849124328219E-2</v>
      </c>
      <c r="K175" s="1397">
        <v>1.701258931609391E-2</v>
      </c>
      <c r="L175" s="487"/>
    </row>
    <row r="176" spans="2:12" s="462" customFormat="1" outlineLevel="2" x14ac:dyDescent="0.25">
      <c r="B176" s="88" t="s">
        <v>730</v>
      </c>
      <c r="C176" s="1396">
        <v>0</v>
      </c>
      <c r="D176" s="1396">
        <v>0</v>
      </c>
      <c r="E176" s="1396">
        <v>0</v>
      </c>
      <c r="F176" s="1396">
        <v>0</v>
      </c>
      <c r="G176" s="1420">
        <v>0</v>
      </c>
      <c r="H176" s="1406">
        <v>0</v>
      </c>
      <c r="I176" s="1406">
        <v>0</v>
      </c>
      <c r="J176" s="1396">
        <v>0</v>
      </c>
      <c r="K176" s="1397">
        <v>0</v>
      </c>
      <c r="L176" s="487"/>
    </row>
    <row r="177" spans="2:12" s="462" customFormat="1" outlineLevel="2" x14ac:dyDescent="0.25">
      <c r="B177" s="88" t="s">
        <v>731</v>
      </c>
      <c r="C177" s="1396">
        <v>0.2997661906677393</v>
      </c>
      <c r="D177" s="1396">
        <v>0.34972722244569587</v>
      </c>
      <c r="E177" s="1396">
        <v>0.32761563355920514</v>
      </c>
      <c r="F177" s="1396">
        <v>0.40072997484409895</v>
      </c>
      <c r="G177" s="1420">
        <v>0.13709143338070337</v>
      </c>
      <c r="H177" s="1406">
        <v>8.3668005354752342E-2</v>
      </c>
      <c r="I177" s="1406">
        <v>0.56411029752629249</v>
      </c>
      <c r="J177" s="1396">
        <v>7.3195519308133422E-2</v>
      </c>
      <c r="K177" s="1397">
        <v>5.1037767948281729E-2</v>
      </c>
      <c r="L177" s="487"/>
    </row>
    <row r="178" spans="2:12" s="462" customFormat="1" outlineLevel="2" x14ac:dyDescent="0.25">
      <c r="B178" s="88" t="s">
        <v>732</v>
      </c>
      <c r="C178" s="1396">
        <v>0</v>
      </c>
      <c r="D178" s="1396">
        <v>0</v>
      </c>
      <c r="E178" s="1396">
        <v>0</v>
      </c>
      <c r="F178" s="1396">
        <v>0</v>
      </c>
      <c r="G178" s="1420">
        <v>0</v>
      </c>
      <c r="H178" s="1406">
        <v>0</v>
      </c>
      <c r="I178" s="1406">
        <v>0</v>
      </c>
      <c r="J178" s="1396">
        <v>0</v>
      </c>
      <c r="K178" s="1397">
        <v>0</v>
      </c>
      <c r="L178" s="521"/>
    </row>
    <row r="179" spans="2:12" s="462" customFormat="1" ht="15.75" outlineLevel="2" thickBot="1" x14ac:dyDescent="0.3">
      <c r="B179" s="88" t="s">
        <v>223</v>
      </c>
      <c r="C179" s="1400">
        <v>3.771118262268705E-3</v>
      </c>
      <c r="D179" s="1400">
        <v>4.3996379726468221E-3</v>
      </c>
      <c r="E179" s="1400">
        <v>4.1214697893974727E-3</v>
      </c>
      <c r="F179" s="1400">
        <v>5.0412627354899852E-3</v>
      </c>
      <c r="G179" s="1421">
        <v>1.7246374812014517E-3</v>
      </c>
      <c r="H179" s="1402">
        <v>0</v>
      </c>
      <c r="I179" s="1402">
        <v>2.792625235278676E-2</v>
      </c>
      <c r="J179" s="1400">
        <v>0</v>
      </c>
      <c r="K179" s="1403">
        <v>0</v>
      </c>
      <c r="L179" s="487"/>
    </row>
    <row r="180" spans="2:12" s="462" customFormat="1" outlineLevel="2" x14ac:dyDescent="0.25">
      <c r="B180" s="464" t="s">
        <v>719</v>
      </c>
      <c r="C180" s="465"/>
      <c r="D180" s="465"/>
      <c r="E180" s="465"/>
      <c r="F180" s="465"/>
      <c r="G180" s="465"/>
      <c r="H180" s="465"/>
      <c r="I180" s="465"/>
      <c r="J180" s="465"/>
      <c r="K180" s="466"/>
      <c r="L180" s="487"/>
    </row>
    <row r="181" spans="2:12" s="462" customFormat="1" outlineLevel="2" x14ac:dyDescent="0.25">
      <c r="B181" s="88" t="s">
        <v>727</v>
      </c>
      <c r="C181" s="1499">
        <v>0</v>
      </c>
      <c r="D181" s="1499">
        <v>0</v>
      </c>
      <c r="E181" s="1499">
        <v>0</v>
      </c>
      <c r="F181" s="1499">
        <v>0</v>
      </c>
      <c r="G181" s="1500">
        <v>0</v>
      </c>
      <c r="H181" s="1501">
        <v>0</v>
      </c>
      <c r="I181" s="1501">
        <v>0</v>
      </c>
      <c r="J181" s="1499">
        <v>0</v>
      </c>
      <c r="K181" s="1502">
        <v>0</v>
      </c>
      <c r="L181" s="487"/>
    </row>
    <row r="182" spans="2:12" s="462" customFormat="1" outlineLevel="2" x14ac:dyDescent="0.25">
      <c r="B182" s="88" t="s">
        <v>728</v>
      </c>
      <c r="C182" s="1396">
        <v>0</v>
      </c>
      <c r="D182" s="1396">
        <v>0</v>
      </c>
      <c r="E182" s="1396">
        <v>0</v>
      </c>
      <c r="F182" s="1396">
        <v>0</v>
      </c>
      <c r="G182" s="1420">
        <v>0</v>
      </c>
      <c r="H182" s="1406">
        <v>0</v>
      </c>
      <c r="I182" s="1406">
        <v>0</v>
      </c>
      <c r="J182" s="1396">
        <v>0</v>
      </c>
      <c r="K182" s="1397">
        <v>0</v>
      </c>
      <c r="L182" s="487"/>
    </row>
    <row r="183" spans="2:12" s="462" customFormat="1" outlineLevel="2" x14ac:dyDescent="0.25">
      <c r="B183" s="88" t="s">
        <v>729</v>
      </c>
      <c r="C183" s="1396">
        <v>0</v>
      </c>
      <c r="D183" s="1396">
        <v>0</v>
      </c>
      <c r="E183" s="1396">
        <v>0</v>
      </c>
      <c r="F183" s="1396">
        <v>0</v>
      </c>
      <c r="G183" s="1420">
        <v>0</v>
      </c>
      <c r="H183" s="1406">
        <v>0</v>
      </c>
      <c r="I183" s="1406">
        <v>0</v>
      </c>
      <c r="J183" s="1396">
        <v>0</v>
      </c>
      <c r="K183" s="1397">
        <v>0</v>
      </c>
      <c r="L183" s="487"/>
    </row>
    <row r="184" spans="2:12" s="462" customFormat="1" outlineLevel="2" x14ac:dyDescent="0.25">
      <c r="B184" s="88" t="s">
        <v>730</v>
      </c>
      <c r="C184" s="1396">
        <v>0</v>
      </c>
      <c r="D184" s="1396">
        <v>0</v>
      </c>
      <c r="E184" s="1396">
        <v>0</v>
      </c>
      <c r="F184" s="1396">
        <v>0</v>
      </c>
      <c r="G184" s="1420">
        <v>0</v>
      </c>
      <c r="H184" s="1406">
        <v>0</v>
      </c>
      <c r="I184" s="1406">
        <v>0</v>
      </c>
      <c r="J184" s="1396">
        <v>0</v>
      </c>
      <c r="K184" s="1397">
        <v>0</v>
      </c>
      <c r="L184" s="487"/>
    </row>
    <row r="185" spans="2:12" s="462" customFormat="1" outlineLevel="2" x14ac:dyDescent="0.25">
      <c r="B185" s="88" t="s">
        <v>731</v>
      </c>
      <c r="C185" s="1396">
        <v>0</v>
      </c>
      <c r="D185" s="1396">
        <v>0</v>
      </c>
      <c r="E185" s="1396">
        <v>0</v>
      </c>
      <c r="F185" s="1396">
        <v>0</v>
      </c>
      <c r="G185" s="1420">
        <v>0</v>
      </c>
      <c r="H185" s="1406">
        <v>0</v>
      </c>
      <c r="I185" s="1406">
        <v>0</v>
      </c>
      <c r="J185" s="1396">
        <v>0</v>
      </c>
      <c r="K185" s="1397">
        <v>0</v>
      </c>
      <c r="L185" s="487"/>
    </row>
    <row r="186" spans="2:12" s="462" customFormat="1" outlineLevel="2" x14ac:dyDescent="0.25">
      <c r="B186" s="88" t="s">
        <v>732</v>
      </c>
      <c r="C186" s="1396">
        <v>0</v>
      </c>
      <c r="D186" s="1396">
        <v>0</v>
      </c>
      <c r="E186" s="1396">
        <v>0</v>
      </c>
      <c r="F186" s="1396">
        <v>0</v>
      </c>
      <c r="G186" s="1420">
        <v>0</v>
      </c>
      <c r="H186" s="1406">
        <v>0</v>
      </c>
      <c r="I186" s="1406">
        <v>0</v>
      </c>
      <c r="J186" s="1396">
        <v>0</v>
      </c>
      <c r="K186" s="1397">
        <v>0</v>
      </c>
      <c r="L186" s="521"/>
    </row>
    <row r="187" spans="2:12" s="462" customFormat="1" ht="15.75" outlineLevel="2" thickBot="1" x14ac:dyDescent="0.3">
      <c r="B187" s="88" t="s">
        <v>223</v>
      </c>
      <c r="C187" s="1400">
        <v>0</v>
      </c>
      <c r="D187" s="1400">
        <v>0</v>
      </c>
      <c r="E187" s="1400">
        <v>0</v>
      </c>
      <c r="F187" s="1400">
        <v>0</v>
      </c>
      <c r="G187" s="1421">
        <v>0</v>
      </c>
      <c r="H187" s="1402">
        <v>0</v>
      </c>
      <c r="I187" s="1402">
        <v>0</v>
      </c>
      <c r="J187" s="1400">
        <v>0</v>
      </c>
      <c r="K187" s="1403">
        <v>0</v>
      </c>
      <c r="L187" s="487"/>
    </row>
    <row r="188" spans="2:12" s="462" customFormat="1" outlineLevel="2" x14ac:dyDescent="0.25">
      <c r="B188" s="464" t="s">
        <v>781</v>
      </c>
      <c r="C188" s="465"/>
      <c r="D188" s="465"/>
      <c r="E188" s="465"/>
      <c r="F188" s="465"/>
      <c r="G188" s="465"/>
      <c r="H188" s="465"/>
      <c r="I188" s="465"/>
      <c r="J188" s="465"/>
      <c r="K188" s="466"/>
      <c r="L188" s="521"/>
    </row>
    <row r="189" spans="2:12" s="462" customFormat="1" outlineLevel="2" x14ac:dyDescent="0.25">
      <c r="B189" s="88" t="s">
        <v>727</v>
      </c>
      <c r="C189" s="1499">
        <v>0</v>
      </c>
      <c r="D189" s="1499">
        <v>0</v>
      </c>
      <c r="E189" s="1499">
        <v>0</v>
      </c>
      <c r="F189" s="1499">
        <v>0</v>
      </c>
      <c r="G189" s="1500">
        <v>0</v>
      </c>
      <c r="H189" s="1501">
        <v>0</v>
      </c>
      <c r="I189" s="1501">
        <v>0</v>
      </c>
      <c r="J189" s="1499">
        <v>0</v>
      </c>
      <c r="K189" s="1502">
        <v>0</v>
      </c>
      <c r="L189" s="521"/>
    </row>
    <row r="190" spans="2:12" s="462" customFormat="1" outlineLevel="2" x14ac:dyDescent="0.25">
      <c r="B190" s="88" t="s">
        <v>728</v>
      </c>
      <c r="C190" s="1396">
        <v>0</v>
      </c>
      <c r="D190" s="1396">
        <v>0</v>
      </c>
      <c r="E190" s="1396">
        <v>0</v>
      </c>
      <c r="F190" s="1396">
        <v>0</v>
      </c>
      <c r="G190" s="1420">
        <v>0</v>
      </c>
      <c r="H190" s="1406">
        <v>0</v>
      </c>
      <c r="I190" s="1406">
        <v>0</v>
      </c>
      <c r="J190" s="1396">
        <v>0</v>
      </c>
      <c r="K190" s="1397">
        <v>0</v>
      </c>
      <c r="L190" s="521"/>
    </row>
    <row r="191" spans="2:12" s="462" customFormat="1" outlineLevel="2" x14ac:dyDescent="0.25">
      <c r="B191" s="88" t="s">
        <v>729</v>
      </c>
      <c r="C191" s="1396">
        <v>0</v>
      </c>
      <c r="D191" s="1396">
        <v>0</v>
      </c>
      <c r="E191" s="1396">
        <v>0</v>
      </c>
      <c r="F191" s="1396">
        <v>0</v>
      </c>
      <c r="G191" s="1420">
        <v>0</v>
      </c>
      <c r="H191" s="1406">
        <v>0</v>
      </c>
      <c r="I191" s="1406">
        <v>0</v>
      </c>
      <c r="J191" s="1396">
        <v>0</v>
      </c>
      <c r="K191" s="1397">
        <v>0</v>
      </c>
      <c r="L191" s="521"/>
    </row>
    <row r="192" spans="2:12" s="462" customFormat="1" outlineLevel="2" x14ac:dyDescent="0.25">
      <c r="B192" s="88" t="s">
        <v>730</v>
      </c>
      <c r="C192" s="1396">
        <v>0</v>
      </c>
      <c r="D192" s="1396">
        <v>0</v>
      </c>
      <c r="E192" s="1396">
        <v>0</v>
      </c>
      <c r="F192" s="1396">
        <v>0</v>
      </c>
      <c r="G192" s="1420">
        <v>0</v>
      </c>
      <c r="H192" s="1406">
        <v>0</v>
      </c>
      <c r="I192" s="1406">
        <v>0</v>
      </c>
      <c r="J192" s="1396">
        <v>0</v>
      </c>
      <c r="K192" s="1397">
        <v>0</v>
      </c>
      <c r="L192" s="521"/>
    </row>
    <row r="193" spans="2:12" s="462" customFormat="1" outlineLevel="2" x14ac:dyDescent="0.25">
      <c r="B193" s="88" t="s">
        <v>731</v>
      </c>
      <c r="C193" s="1396">
        <v>0</v>
      </c>
      <c r="D193" s="1396">
        <v>0</v>
      </c>
      <c r="E193" s="1396">
        <v>0</v>
      </c>
      <c r="F193" s="1396">
        <v>0</v>
      </c>
      <c r="G193" s="1420">
        <v>0</v>
      </c>
      <c r="H193" s="1406">
        <v>0</v>
      </c>
      <c r="I193" s="1406">
        <v>0</v>
      </c>
      <c r="J193" s="1396">
        <v>0</v>
      </c>
      <c r="K193" s="1397">
        <v>0</v>
      </c>
      <c r="L193" s="521"/>
    </row>
    <row r="194" spans="2:12" s="462" customFormat="1" outlineLevel="2" x14ac:dyDescent="0.25">
      <c r="B194" s="88" t="s">
        <v>732</v>
      </c>
      <c r="C194" s="1396">
        <v>0</v>
      </c>
      <c r="D194" s="1396">
        <v>0</v>
      </c>
      <c r="E194" s="1396">
        <v>0</v>
      </c>
      <c r="F194" s="1396">
        <v>0</v>
      </c>
      <c r="G194" s="1420">
        <v>0</v>
      </c>
      <c r="H194" s="1406">
        <v>0</v>
      </c>
      <c r="I194" s="1406">
        <v>0</v>
      </c>
      <c r="J194" s="1396">
        <v>0</v>
      </c>
      <c r="K194" s="1397">
        <v>0</v>
      </c>
      <c r="L194" s="521"/>
    </row>
    <row r="195" spans="2:12" s="462" customFormat="1" ht="15.75" outlineLevel="2" thickBot="1" x14ac:dyDescent="0.3">
      <c r="B195" s="88" t="s">
        <v>223</v>
      </c>
      <c r="C195" s="1400">
        <v>0</v>
      </c>
      <c r="D195" s="1400">
        <v>0</v>
      </c>
      <c r="E195" s="1400">
        <v>0</v>
      </c>
      <c r="F195" s="1400">
        <v>0</v>
      </c>
      <c r="G195" s="1421">
        <v>0</v>
      </c>
      <c r="H195" s="1402">
        <v>0</v>
      </c>
      <c r="I195" s="1402">
        <v>0</v>
      </c>
      <c r="J195" s="1400">
        <v>0</v>
      </c>
      <c r="K195" s="1403">
        <v>0</v>
      </c>
      <c r="L195" s="521"/>
    </row>
    <row r="196" spans="2:12" s="462" customFormat="1" outlineLevel="2" x14ac:dyDescent="0.25">
      <c r="B196" s="464" t="s">
        <v>720</v>
      </c>
      <c r="C196" s="465"/>
      <c r="D196" s="465"/>
      <c r="E196" s="465"/>
      <c r="F196" s="465"/>
      <c r="G196" s="465"/>
      <c r="H196" s="465"/>
      <c r="I196" s="465"/>
      <c r="J196" s="465"/>
      <c r="K196" s="466"/>
      <c r="L196" s="487"/>
    </row>
    <row r="197" spans="2:12" s="462" customFormat="1" outlineLevel="2" x14ac:dyDescent="0.25">
      <c r="B197" s="88" t="s">
        <v>727</v>
      </c>
      <c r="C197" s="1499">
        <v>0</v>
      </c>
      <c r="D197" s="1499">
        <v>0</v>
      </c>
      <c r="E197" s="1499">
        <v>0</v>
      </c>
      <c r="F197" s="1499">
        <v>0</v>
      </c>
      <c r="G197" s="1500">
        <v>0</v>
      </c>
      <c r="H197" s="1501">
        <v>0</v>
      </c>
      <c r="I197" s="1501">
        <v>0</v>
      </c>
      <c r="J197" s="1499">
        <v>0</v>
      </c>
      <c r="K197" s="1502">
        <v>0</v>
      </c>
      <c r="L197" s="487"/>
    </row>
    <row r="198" spans="2:12" s="462" customFormat="1" outlineLevel="2" x14ac:dyDescent="0.25">
      <c r="B198" s="88" t="s">
        <v>728</v>
      </c>
      <c r="C198" s="1396">
        <v>4.7769317825287969E-3</v>
      </c>
      <c r="D198" s="1396">
        <v>5.712205602691956E-3</v>
      </c>
      <c r="E198" s="1396">
        <v>6.1925014621324933E-3</v>
      </c>
      <c r="F198" s="1396">
        <v>5.0263750204857386E-3</v>
      </c>
      <c r="G198" s="1420">
        <v>2.3850941709523499E-3</v>
      </c>
      <c r="H198" s="1406">
        <v>4.1834702722602455E-3</v>
      </c>
      <c r="I198" s="1406">
        <v>4.2539976943332496E-3</v>
      </c>
      <c r="J198" s="1396">
        <v>0</v>
      </c>
      <c r="K198" s="1397">
        <v>0</v>
      </c>
      <c r="L198" s="487"/>
    </row>
    <row r="199" spans="2:12" s="462" customFormat="1" outlineLevel="2" x14ac:dyDescent="0.25">
      <c r="B199" s="88" t="s">
        <v>729</v>
      </c>
      <c r="C199" s="1396">
        <v>0.63236321595656397</v>
      </c>
      <c r="D199" s="1396">
        <v>0.75617339111574633</v>
      </c>
      <c r="E199" s="1396">
        <v>0.81975425182581019</v>
      </c>
      <c r="F199" s="1396">
        <v>0.66538414556874426</v>
      </c>
      <c r="G199" s="1420">
        <v>0.31573526459367857</v>
      </c>
      <c r="H199" s="1406">
        <v>0.18825616225171105</v>
      </c>
      <c r="I199" s="1406">
        <v>0.59981367490098814</v>
      </c>
      <c r="J199" s="1396">
        <v>0.19080666847119485</v>
      </c>
      <c r="K199" s="1397">
        <v>0.32704167445337323</v>
      </c>
      <c r="L199" s="487"/>
    </row>
    <row r="200" spans="2:12" s="462" customFormat="1" outlineLevel="2" x14ac:dyDescent="0.25">
      <c r="B200" s="88" t="s">
        <v>730</v>
      </c>
      <c r="C200" s="1396">
        <v>0</v>
      </c>
      <c r="D200" s="1396">
        <v>0</v>
      </c>
      <c r="E200" s="1396">
        <v>0</v>
      </c>
      <c r="F200" s="1396">
        <v>0</v>
      </c>
      <c r="G200" s="1420">
        <v>0</v>
      </c>
      <c r="H200" s="1406">
        <v>0</v>
      </c>
      <c r="I200" s="1406">
        <v>0</v>
      </c>
      <c r="J200" s="1396">
        <v>0</v>
      </c>
      <c r="K200" s="1397">
        <v>0</v>
      </c>
      <c r="L200" s="487"/>
    </row>
    <row r="201" spans="2:12" s="462" customFormat="1" outlineLevel="2" x14ac:dyDescent="0.25">
      <c r="B201" s="88" t="s">
        <v>731</v>
      </c>
      <c r="C201" s="1396">
        <v>0.31950938167967247</v>
      </c>
      <c r="D201" s="1396">
        <v>0.38206601292034781</v>
      </c>
      <c r="E201" s="1396">
        <v>0.41419103376205541</v>
      </c>
      <c r="F201" s="1396">
        <v>0.33619361715803781</v>
      </c>
      <c r="G201" s="1420">
        <v>0.15952917029209895</v>
      </c>
      <c r="H201" s="1406">
        <v>6.2752054083903677E-2</v>
      </c>
      <c r="I201" s="1406">
        <v>0.59981367490098814</v>
      </c>
      <c r="J201" s="1396">
        <v>6.2123101362714601E-2</v>
      </c>
      <c r="K201" s="1397">
        <v>0.17753690898897403</v>
      </c>
      <c r="L201" s="487"/>
    </row>
    <row r="202" spans="2:12" s="462" customFormat="1" outlineLevel="2" x14ac:dyDescent="0.25">
      <c r="B202" s="88" t="s">
        <v>732</v>
      </c>
      <c r="C202" s="1396">
        <v>0</v>
      </c>
      <c r="D202" s="1396">
        <v>0</v>
      </c>
      <c r="E202" s="1396">
        <v>0</v>
      </c>
      <c r="F202" s="1396">
        <v>0</v>
      </c>
      <c r="G202" s="1420">
        <v>0</v>
      </c>
      <c r="H202" s="1406">
        <v>0</v>
      </c>
      <c r="I202" s="1406">
        <v>0</v>
      </c>
      <c r="J202" s="1396">
        <v>0</v>
      </c>
      <c r="K202" s="1397">
        <v>0</v>
      </c>
      <c r="L202" s="521"/>
    </row>
    <row r="203" spans="2:12" s="462" customFormat="1" ht="15.75" outlineLevel="2" thickBot="1" x14ac:dyDescent="0.3">
      <c r="B203" s="88" t="s">
        <v>223</v>
      </c>
      <c r="C203" s="1400">
        <v>3.5887784014070688E-2</v>
      </c>
      <c r="D203" s="1400">
        <v>4.2914240823604968E-2</v>
      </c>
      <c r="E203" s="1400">
        <v>4.6522572458043698E-2</v>
      </c>
      <c r="F203" s="1400">
        <v>3.776178294374144E-2</v>
      </c>
      <c r="G203" s="1421">
        <v>1.7918561193068679E-2</v>
      </c>
      <c r="H203" s="1402">
        <v>8.366940544520491E-3</v>
      </c>
      <c r="I203" s="1402">
        <v>5.5301970026332241E-2</v>
      </c>
      <c r="J203" s="1400">
        <v>0</v>
      </c>
      <c r="K203" s="1403">
        <v>3.7376191366099792E-2</v>
      </c>
      <c r="L203" s="487"/>
    </row>
    <row r="204" spans="2:12" s="462" customFormat="1" outlineLevel="2" x14ac:dyDescent="0.25">
      <c r="B204" s="464" t="s">
        <v>721</v>
      </c>
      <c r="C204" s="465"/>
      <c r="D204" s="465"/>
      <c r="E204" s="465"/>
      <c r="F204" s="465"/>
      <c r="G204" s="465"/>
      <c r="H204" s="465"/>
      <c r="I204" s="465"/>
      <c r="J204" s="465"/>
      <c r="K204" s="466"/>
      <c r="L204" s="487"/>
    </row>
    <row r="205" spans="2:12" s="462" customFormat="1" outlineLevel="2" x14ac:dyDescent="0.25">
      <c r="B205" s="88" t="s">
        <v>727</v>
      </c>
      <c r="C205" s="1499">
        <v>0</v>
      </c>
      <c r="D205" s="1499">
        <v>0</v>
      </c>
      <c r="E205" s="1499">
        <v>0</v>
      </c>
      <c r="F205" s="1499">
        <v>0</v>
      </c>
      <c r="G205" s="1500">
        <v>0</v>
      </c>
      <c r="H205" s="1501">
        <v>0</v>
      </c>
      <c r="I205" s="1501">
        <v>0</v>
      </c>
      <c r="J205" s="1499">
        <v>0</v>
      </c>
      <c r="K205" s="1502">
        <v>0</v>
      </c>
      <c r="L205" s="487"/>
    </row>
    <row r="206" spans="2:12" s="462" customFormat="1" outlineLevel="2" x14ac:dyDescent="0.25">
      <c r="B206" s="88" t="s">
        <v>728</v>
      </c>
      <c r="C206" s="1396">
        <v>0</v>
      </c>
      <c r="D206" s="1396">
        <v>0</v>
      </c>
      <c r="E206" s="1396">
        <v>0</v>
      </c>
      <c r="F206" s="1396">
        <v>0</v>
      </c>
      <c r="G206" s="1420">
        <v>0</v>
      </c>
      <c r="H206" s="1406">
        <v>0</v>
      </c>
      <c r="I206" s="1406">
        <v>0</v>
      </c>
      <c r="J206" s="1396">
        <v>0</v>
      </c>
      <c r="K206" s="1397">
        <v>0</v>
      </c>
      <c r="L206" s="487"/>
    </row>
    <row r="207" spans="2:12" s="462" customFormat="1" outlineLevel="2" x14ac:dyDescent="0.25">
      <c r="B207" s="88" t="s">
        <v>729</v>
      </c>
      <c r="C207" s="1396">
        <v>0.40857700171653338</v>
      </c>
      <c r="D207" s="1396">
        <v>0.34770046623484302</v>
      </c>
      <c r="E207" s="1396">
        <v>0.32654602444894015</v>
      </c>
      <c r="F207" s="1396">
        <v>0.29117898899246836</v>
      </c>
      <c r="G207" s="1420">
        <v>0.14301470435054764</v>
      </c>
      <c r="H207" s="1406">
        <v>5.4409655240639072E-2</v>
      </c>
      <c r="I207" s="1406">
        <v>0.32721539697177021</v>
      </c>
      <c r="J207" s="1396">
        <v>7.4883556070310664E-2</v>
      </c>
      <c r="K207" s="1397">
        <v>0.12605889471561113</v>
      </c>
      <c r="L207" s="487"/>
    </row>
    <row r="208" spans="2:12" s="462" customFormat="1" outlineLevel="2" x14ac:dyDescent="0.25">
      <c r="B208" s="88" t="s">
        <v>730</v>
      </c>
      <c r="C208" s="1396">
        <v>0</v>
      </c>
      <c r="D208" s="1396">
        <v>0</v>
      </c>
      <c r="E208" s="1396">
        <v>0</v>
      </c>
      <c r="F208" s="1396">
        <v>0</v>
      </c>
      <c r="G208" s="1420">
        <v>0</v>
      </c>
      <c r="H208" s="1406">
        <v>0</v>
      </c>
      <c r="I208" s="1406">
        <v>0</v>
      </c>
      <c r="J208" s="1396">
        <v>0</v>
      </c>
      <c r="K208" s="1397">
        <v>0</v>
      </c>
      <c r="L208" s="487"/>
    </row>
    <row r="209" spans="1:12" s="462" customFormat="1" outlineLevel="2" x14ac:dyDescent="0.25">
      <c r="B209" s="88" t="s">
        <v>731</v>
      </c>
      <c r="C209" s="1396">
        <v>0.25671132082159104</v>
      </c>
      <c r="D209" s="1396">
        <v>0.21846223738103673</v>
      </c>
      <c r="E209" s="1396">
        <v>0.20517077782925736</v>
      </c>
      <c r="F209" s="1396">
        <v>0.18294946251431973</v>
      </c>
      <c r="G209" s="1420">
        <v>8.9856975543155693E-2</v>
      </c>
      <c r="H209" s="1406">
        <v>4.4516990651431963E-2</v>
      </c>
      <c r="I209" s="1406">
        <v>0.41149815073722623</v>
      </c>
      <c r="J209" s="1396">
        <v>2.9953422428124266E-2</v>
      </c>
      <c r="K209" s="1397">
        <v>4.0338846308995563E-2</v>
      </c>
      <c r="L209" s="487"/>
    </row>
    <row r="210" spans="1:12" s="462" customFormat="1" outlineLevel="2" x14ac:dyDescent="0.25">
      <c r="B210" s="88" t="s">
        <v>732</v>
      </c>
      <c r="C210" s="1396">
        <v>0</v>
      </c>
      <c r="D210" s="1396">
        <v>0</v>
      </c>
      <c r="E210" s="1396">
        <v>0</v>
      </c>
      <c r="F210" s="1396">
        <v>0</v>
      </c>
      <c r="G210" s="1420">
        <v>0</v>
      </c>
      <c r="H210" s="1406">
        <v>0</v>
      </c>
      <c r="I210" s="1406">
        <v>0</v>
      </c>
      <c r="J210" s="1396">
        <v>0</v>
      </c>
      <c r="K210" s="1397">
        <v>0</v>
      </c>
      <c r="L210" s="521"/>
    </row>
    <row r="211" spans="1:12" s="462" customFormat="1" ht="15.75" outlineLevel="2" thickBot="1" x14ac:dyDescent="0.3">
      <c r="B211" s="623" t="s">
        <v>223</v>
      </c>
      <c r="C211" s="1400">
        <v>2.2124589677388777E-2</v>
      </c>
      <c r="D211" s="1400">
        <v>1.8828103671434285E-2</v>
      </c>
      <c r="E211" s="1400">
        <v>1.7682583139439129E-2</v>
      </c>
      <c r="F211" s="1400">
        <v>1.5767445615073584E-2</v>
      </c>
      <c r="G211" s="1421">
        <v>7.7442970071628847E-3</v>
      </c>
      <c r="H211" s="1402">
        <v>0</v>
      </c>
      <c r="I211" s="1402">
        <v>1.9831236180107289E-2</v>
      </c>
      <c r="J211" s="1400">
        <v>4.9922370713540443E-3</v>
      </c>
      <c r="K211" s="1403">
        <v>1.0084711577248891E-2</v>
      </c>
      <c r="L211" s="487"/>
    </row>
    <row r="212" spans="1:12" customFormat="1" ht="25.5" customHeight="1" outlineLevel="1" thickBot="1" x14ac:dyDescent="0.3">
      <c r="I212" s="1294"/>
    </row>
    <row r="213" spans="1:12" s="515" customFormat="1" ht="25.5" customHeight="1" outlineLevel="1" thickBot="1" x14ac:dyDescent="0.3">
      <c r="B213" s="308" t="s">
        <v>821</v>
      </c>
      <c r="C213" s="309"/>
      <c r="D213" s="309"/>
      <c r="E213" s="309"/>
      <c r="F213" s="309"/>
      <c r="G213" s="309"/>
      <c r="H213" s="309"/>
      <c r="I213" s="309"/>
      <c r="J213" s="309"/>
      <c r="K213" s="310"/>
      <c r="L213" s="432"/>
    </row>
    <row r="214" spans="1:12" s="91" customFormat="1" ht="24" customHeight="1" outlineLevel="2" x14ac:dyDescent="0.25">
      <c r="A214" s="493"/>
      <c r="B214" s="521"/>
      <c r="C214" s="1669" t="s">
        <v>701</v>
      </c>
      <c r="D214" s="1670"/>
      <c r="E214" s="1670"/>
      <c r="F214" s="1670"/>
      <c r="G214" s="1670"/>
      <c r="H214" s="1670"/>
      <c r="I214" s="1670"/>
      <c r="J214" s="1670"/>
      <c r="K214" s="1671"/>
      <c r="L214" s="521"/>
    </row>
    <row r="215" spans="1:12" s="91" customFormat="1" ht="24.75" customHeight="1" outlineLevel="2" x14ac:dyDescent="0.25">
      <c r="A215" s="493"/>
      <c r="B215" s="521"/>
      <c r="C215" s="1672" t="s">
        <v>783</v>
      </c>
      <c r="D215" s="1673"/>
      <c r="E215" s="1673"/>
      <c r="F215" s="1673"/>
      <c r="G215" s="1673"/>
      <c r="H215" s="1673"/>
      <c r="I215" s="1673"/>
      <c r="J215" s="1673"/>
      <c r="K215" s="1674"/>
      <c r="L215" s="521"/>
    </row>
    <row r="216" spans="1:12" s="91" customFormat="1" ht="18" customHeight="1" outlineLevel="2" thickBot="1" x14ac:dyDescent="0.3">
      <c r="A216" s="399"/>
      <c r="B216" s="504"/>
      <c r="C216" s="424">
        <f ca="1">dms_y1</f>
        <v>2011</v>
      </c>
      <c r="D216" s="425">
        <f ca="1">dms_y2</f>
        <v>2012</v>
      </c>
      <c r="E216" s="425">
        <f ca="1">dms_y3</f>
        <v>2013</v>
      </c>
      <c r="F216" s="425">
        <f ca="1">dms_y4</f>
        <v>2014</v>
      </c>
      <c r="G216" s="425">
        <f ca="1">dms_y5</f>
        <v>2015</v>
      </c>
      <c r="H216" s="426">
        <f ca="1">dms_y6</f>
        <v>2016</v>
      </c>
      <c r="I216" s="426">
        <f ca="1">dms_y7</f>
        <v>2017</v>
      </c>
      <c r="J216" s="426">
        <f ca="1">dms_y8</f>
        <v>2018</v>
      </c>
      <c r="K216" s="427">
        <f ca="1">dms_y9</f>
        <v>2019</v>
      </c>
      <c r="L216" s="521"/>
    </row>
    <row r="217" spans="1:12" s="462" customFormat="1" outlineLevel="2" x14ac:dyDescent="0.25">
      <c r="B217" s="464" t="s">
        <v>712</v>
      </c>
      <c r="C217" s="465"/>
      <c r="D217" s="465"/>
      <c r="E217" s="465"/>
      <c r="F217" s="465"/>
      <c r="G217" s="465"/>
      <c r="H217" s="465"/>
      <c r="I217" s="465"/>
      <c r="J217" s="465"/>
      <c r="K217" s="466"/>
      <c r="L217" s="487"/>
    </row>
    <row r="218" spans="1:12" s="462" customFormat="1" outlineLevel="2" x14ac:dyDescent="0.25">
      <c r="B218" s="88" t="s">
        <v>727</v>
      </c>
      <c r="C218" s="1499">
        <v>0</v>
      </c>
      <c r="D218" s="1499">
        <v>0</v>
      </c>
      <c r="E218" s="1499">
        <v>0</v>
      </c>
      <c r="F218" s="1499">
        <v>0</v>
      </c>
      <c r="G218" s="1500">
        <v>0</v>
      </c>
      <c r="H218" s="1501">
        <v>0</v>
      </c>
      <c r="I218" s="1501">
        <v>0</v>
      </c>
      <c r="J218" s="1499">
        <v>0</v>
      </c>
      <c r="K218" s="1502">
        <v>0</v>
      </c>
      <c r="L218" s="487"/>
    </row>
    <row r="219" spans="1:12" s="462" customFormat="1" outlineLevel="2" x14ac:dyDescent="0.25">
      <c r="B219" s="88" t="s">
        <v>728</v>
      </c>
      <c r="C219" s="1396">
        <v>0</v>
      </c>
      <c r="D219" s="1396">
        <v>0</v>
      </c>
      <c r="E219" s="1396">
        <v>0</v>
      </c>
      <c r="F219" s="1396">
        <v>0</v>
      </c>
      <c r="G219" s="1420">
        <v>0</v>
      </c>
      <c r="H219" s="1406">
        <v>0</v>
      </c>
      <c r="I219" s="1406">
        <v>0</v>
      </c>
      <c r="J219" s="1396">
        <v>0</v>
      </c>
      <c r="K219" s="1397">
        <v>0</v>
      </c>
      <c r="L219" s="487"/>
    </row>
    <row r="220" spans="1:12" s="462" customFormat="1" outlineLevel="2" x14ac:dyDescent="0.25">
      <c r="B220" s="88" t="s">
        <v>729</v>
      </c>
      <c r="C220" s="1396">
        <v>0</v>
      </c>
      <c r="D220" s="1396">
        <v>0</v>
      </c>
      <c r="E220" s="1396">
        <v>0</v>
      </c>
      <c r="F220" s="1396">
        <v>0</v>
      </c>
      <c r="G220" s="1420">
        <v>0</v>
      </c>
      <c r="H220" s="1406">
        <v>0</v>
      </c>
      <c r="I220" s="1406">
        <v>0</v>
      </c>
      <c r="J220" s="1396">
        <v>0</v>
      </c>
      <c r="K220" s="1397">
        <v>0</v>
      </c>
      <c r="L220" s="487"/>
    </row>
    <row r="221" spans="1:12" s="462" customFormat="1" outlineLevel="2" x14ac:dyDescent="0.25">
      <c r="B221" s="88" t="s">
        <v>730</v>
      </c>
      <c r="C221" s="1396">
        <v>0</v>
      </c>
      <c r="D221" s="1396">
        <v>0</v>
      </c>
      <c r="E221" s="1396">
        <v>0</v>
      </c>
      <c r="F221" s="1396">
        <v>0</v>
      </c>
      <c r="G221" s="1420">
        <v>0</v>
      </c>
      <c r="H221" s="1406">
        <v>0</v>
      </c>
      <c r="I221" s="1406">
        <v>0</v>
      </c>
      <c r="J221" s="1396">
        <v>0</v>
      </c>
      <c r="K221" s="1397">
        <v>0</v>
      </c>
      <c r="L221" s="487"/>
    </row>
    <row r="222" spans="1:12" s="462" customFormat="1" outlineLevel="2" x14ac:dyDescent="0.25">
      <c r="B222" s="88" t="s">
        <v>731</v>
      </c>
      <c r="C222" s="1396">
        <v>0</v>
      </c>
      <c r="D222" s="1396">
        <v>0</v>
      </c>
      <c r="E222" s="1396">
        <v>0</v>
      </c>
      <c r="F222" s="1396">
        <v>0</v>
      </c>
      <c r="G222" s="1420">
        <v>0</v>
      </c>
      <c r="H222" s="1406">
        <v>2.0876826722338206</v>
      </c>
      <c r="I222" s="1406">
        <v>0</v>
      </c>
      <c r="J222" s="1396">
        <v>0</v>
      </c>
      <c r="K222" s="1397">
        <v>0</v>
      </c>
      <c r="L222" s="487"/>
    </row>
    <row r="223" spans="1:12" s="462" customFormat="1" outlineLevel="2" x14ac:dyDescent="0.25">
      <c r="B223" s="88" t="s">
        <v>732</v>
      </c>
      <c r="C223" s="1396">
        <v>0</v>
      </c>
      <c r="D223" s="1396">
        <v>0</v>
      </c>
      <c r="E223" s="1396">
        <v>0</v>
      </c>
      <c r="F223" s="1396">
        <v>0</v>
      </c>
      <c r="G223" s="1420">
        <v>0</v>
      </c>
      <c r="H223" s="1406">
        <v>0</v>
      </c>
      <c r="I223" s="1406">
        <v>0</v>
      </c>
      <c r="J223" s="1396">
        <v>0</v>
      </c>
      <c r="K223" s="1397">
        <v>0</v>
      </c>
      <c r="L223" s="521"/>
    </row>
    <row r="224" spans="1:12" s="462" customFormat="1" ht="15.75" outlineLevel="2" thickBot="1" x14ac:dyDescent="0.3">
      <c r="B224" s="88" t="s">
        <v>223</v>
      </c>
      <c r="C224" s="1400">
        <v>0</v>
      </c>
      <c r="D224" s="1400">
        <v>0</v>
      </c>
      <c r="E224" s="1400">
        <v>0</v>
      </c>
      <c r="F224" s="1400">
        <v>0</v>
      </c>
      <c r="G224" s="1421">
        <v>0</v>
      </c>
      <c r="H224" s="1402">
        <v>0</v>
      </c>
      <c r="I224" s="1402">
        <v>0</v>
      </c>
      <c r="J224" s="1400">
        <v>0</v>
      </c>
      <c r="K224" s="1403">
        <v>0</v>
      </c>
      <c r="L224" s="487"/>
    </row>
    <row r="225" spans="2:12" s="462" customFormat="1" outlineLevel="2" x14ac:dyDescent="0.25">
      <c r="B225" s="464" t="s">
        <v>713</v>
      </c>
      <c r="C225" s="465"/>
      <c r="D225" s="465"/>
      <c r="E225" s="465"/>
      <c r="F225" s="465"/>
      <c r="G225" s="465"/>
      <c r="H225" s="465"/>
      <c r="I225" s="465"/>
      <c r="J225" s="465"/>
      <c r="K225" s="466"/>
      <c r="L225" s="487"/>
    </row>
    <row r="226" spans="2:12" s="462" customFormat="1" outlineLevel="2" x14ac:dyDescent="0.25">
      <c r="B226" s="88" t="s">
        <v>727</v>
      </c>
      <c r="C226" s="1499">
        <v>0</v>
      </c>
      <c r="D226" s="1499">
        <v>0</v>
      </c>
      <c r="E226" s="1499">
        <v>0</v>
      </c>
      <c r="F226" s="1499">
        <v>0</v>
      </c>
      <c r="G226" s="1500">
        <v>0</v>
      </c>
      <c r="H226" s="1501">
        <v>0</v>
      </c>
      <c r="I226" s="1501">
        <v>0</v>
      </c>
      <c r="J226" s="1499">
        <v>0</v>
      </c>
      <c r="K226" s="1502">
        <v>0</v>
      </c>
      <c r="L226" s="487"/>
    </row>
    <row r="227" spans="2:12" s="462" customFormat="1" outlineLevel="2" x14ac:dyDescent="0.25">
      <c r="B227" s="88" t="s">
        <v>728</v>
      </c>
      <c r="C227" s="1396">
        <v>0</v>
      </c>
      <c r="D227" s="1396">
        <v>0</v>
      </c>
      <c r="E227" s="1396">
        <v>0</v>
      </c>
      <c r="F227" s="1396">
        <v>0</v>
      </c>
      <c r="G227" s="1420">
        <v>0</v>
      </c>
      <c r="H227" s="1406">
        <v>0</v>
      </c>
      <c r="I227" s="1406">
        <v>0</v>
      </c>
      <c r="J227" s="1396">
        <v>0</v>
      </c>
      <c r="K227" s="1397">
        <v>0</v>
      </c>
      <c r="L227" s="487"/>
    </row>
    <row r="228" spans="2:12" s="462" customFormat="1" outlineLevel="2" x14ac:dyDescent="0.25">
      <c r="B228" s="88" t="s">
        <v>729</v>
      </c>
      <c r="C228" s="1396">
        <v>0</v>
      </c>
      <c r="D228" s="1396">
        <v>0</v>
      </c>
      <c r="E228" s="1396">
        <v>0</v>
      </c>
      <c r="F228" s="1396">
        <v>0</v>
      </c>
      <c r="G228" s="1420">
        <v>0</v>
      </c>
      <c r="H228" s="1406">
        <v>0</v>
      </c>
      <c r="I228" s="1406">
        <v>0</v>
      </c>
      <c r="J228" s="1396">
        <v>0</v>
      </c>
      <c r="K228" s="1397">
        <v>0</v>
      </c>
      <c r="L228" s="487"/>
    </row>
    <row r="229" spans="2:12" s="462" customFormat="1" outlineLevel="2" x14ac:dyDescent="0.25">
      <c r="B229" s="88" t="s">
        <v>730</v>
      </c>
      <c r="C229" s="1396">
        <v>0</v>
      </c>
      <c r="D229" s="1396">
        <v>0</v>
      </c>
      <c r="E229" s="1396">
        <v>0</v>
      </c>
      <c r="F229" s="1396">
        <v>0</v>
      </c>
      <c r="G229" s="1420">
        <v>0</v>
      </c>
      <c r="H229" s="1406">
        <v>0</v>
      </c>
      <c r="I229" s="1406">
        <v>0</v>
      </c>
      <c r="J229" s="1396">
        <v>0</v>
      </c>
      <c r="K229" s="1397">
        <v>0</v>
      </c>
      <c r="L229" s="487"/>
    </row>
    <row r="230" spans="2:12" s="462" customFormat="1" outlineLevel="2" x14ac:dyDescent="0.25">
      <c r="B230" s="88" t="s">
        <v>731</v>
      </c>
      <c r="C230" s="1396">
        <v>0</v>
      </c>
      <c r="D230" s="1396">
        <v>0</v>
      </c>
      <c r="E230" s="1396">
        <v>0</v>
      </c>
      <c r="F230" s="1396">
        <v>0</v>
      </c>
      <c r="G230" s="1420">
        <v>0</v>
      </c>
      <c r="H230" s="1406">
        <v>0</v>
      </c>
      <c r="I230" s="1406">
        <v>0</v>
      </c>
      <c r="J230" s="1396">
        <v>0</v>
      </c>
      <c r="K230" s="1397">
        <v>0</v>
      </c>
      <c r="L230" s="487"/>
    </row>
    <row r="231" spans="2:12" s="462" customFormat="1" outlineLevel="2" x14ac:dyDescent="0.25">
      <c r="B231" s="88" t="s">
        <v>732</v>
      </c>
      <c r="C231" s="1396">
        <v>0</v>
      </c>
      <c r="D231" s="1396">
        <v>0</v>
      </c>
      <c r="E231" s="1396">
        <v>0</v>
      </c>
      <c r="F231" s="1396">
        <v>0</v>
      </c>
      <c r="G231" s="1420">
        <v>0</v>
      </c>
      <c r="H231" s="1406">
        <v>0</v>
      </c>
      <c r="I231" s="1406">
        <v>0</v>
      </c>
      <c r="J231" s="1396">
        <v>0</v>
      </c>
      <c r="K231" s="1397">
        <v>0</v>
      </c>
      <c r="L231" s="521"/>
    </row>
    <row r="232" spans="2:12" s="462" customFormat="1" ht="15.75" outlineLevel="2" thickBot="1" x14ac:dyDescent="0.3">
      <c r="B232" s="88" t="s">
        <v>223</v>
      </c>
      <c r="C232" s="1400">
        <v>0</v>
      </c>
      <c r="D232" s="1400">
        <v>0</v>
      </c>
      <c r="E232" s="1400">
        <v>0</v>
      </c>
      <c r="F232" s="1400">
        <v>0</v>
      </c>
      <c r="G232" s="1421">
        <v>0</v>
      </c>
      <c r="H232" s="1402">
        <v>0</v>
      </c>
      <c r="I232" s="1402">
        <v>0</v>
      </c>
      <c r="J232" s="1400">
        <v>0</v>
      </c>
      <c r="K232" s="1403">
        <v>0</v>
      </c>
      <c r="L232" s="487"/>
    </row>
    <row r="233" spans="2:12" s="462" customFormat="1" outlineLevel="2" x14ac:dyDescent="0.25">
      <c r="B233" s="464" t="s">
        <v>714</v>
      </c>
      <c r="C233" s="465"/>
      <c r="D233" s="465"/>
      <c r="E233" s="465"/>
      <c r="F233" s="465"/>
      <c r="G233" s="465"/>
      <c r="H233" s="465"/>
      <c r="I233" s="465"/>
      <c r="J233" s="465"/>
      <c r="K233" s="466"/>
      <c r="L233" s="487"/>
    </row>
    <row r="234" spans="2:12" s="462" customFormat="1" outlineLevel="2" x14ac:dyDescent="0.25">
      <c r="B234" s="88" t="s">
        <v>727</v>
      </c>
      <c r="C234" s="1499">
        <v>0</v>
      </c>
      <c r="D234" s="1499">
        <v>0</v>
      </c>
      <c r="E234" s="1499">
        <v>0</v>
      </c>
      <c r="F234" s="1499">
        <v>0</v>
      </c>
      <c r="G234" s="1500">
        <v>0</v>
      </c>
      <c r="H234" s="1501">
        <v>0</v>
      </c>
      <c r="I234" s="1501">
        <v>0</v>
      </c>
      <c r="J234" s="1499">
        <v>0</v>
      </c>
      <c r="K234" s="1502">
        <v>0</v>
      </c>
      <c r="L234" s="487"/>
    </row>
    <row r="235" spans="2:12" s="462" customFormat="1" outlineLevel="2" x14ac:dyDescent="0.25">
      <c r="B235" s="88" t="s">
        <v>728</v>
      </c>
      <c r="C235" s="1396">
        <v>0</v>
      </c>
      <c r="D235" s="1396">
        <v>0</v>
      </c>
      <c r="E235" s="1396">
        <v>0</v>
      </c>
      <c r="F235" s="1396">
        <v>0</v>
      </c>
      <c r="G235" s="1420">
        <v>0</v>
      </c>
      <c r="H235" s="1406">
        <v>0</v>
      </c>
      <c r="I235" s="1406">
        <v>0</v>
      </c>
      <c r="J235" s="1396">
        <v>0</v>
      </c>
      <c r="K235" s="1397">
        <v>0</v>
      </c>
      <c r="L235" s="487"/>
    </row>
    <row r="236" spans="2:12" s="462" customFormat="1" outlineLevel="2" x14ac:dyDescent="0.25">
      <c r="B236" s="88" t="s">
        <v>729</v>
      </c>
      <c r="C236" s="1396">
        <v>0</v>
      </c>
      <c r="D236" s="1396">
        <v>0</v>
      </c>
      <c r="E236" s="1396">
        <v>0</v>
      </c>
      <c r="F236" s="1396">
        <v>0</v>
      </c>
      <c r="G236" s="1420">
        <v>0</v>
      </c>
      <c r="H236" s="1406">
        <v>0</v>
      </c>
      <c r="I236" s="1406">
        <v>0</v>
      </c>
      <c r="J236" s="1396">
        <v>0</v>
      </c>
      <c r="K236" s="1397">
        <v>0</v>
      </c>
      <c r="L236" s="487"/>
    </row>
    <row r="237" spans="2:12" s="462" customFormat="1" outlineLevel="2" x14ac:dyDescent="0.25">
      <c r="B237" s="88" t="s">
        <v>730</v>
      </c>
      <c r="C237" s="1396">
        <v>0</v>
      </c>
      <c r="D237" s="1396">
        <v>0</v>
      </c>
      <c r="E237" s="1396">
        <v>0</v>
      </c>
      <c r="F237" s="1396">
        <v>0</v>
      </c>
      <c r="G237" s="1420">
        <v>0</v>
      </c>
      <c r="H237" s="1406">
        <v>0</v>
      </c>
      <c r="I237" s="1406">
        <v>0</v>
      </c>
      <c r="J237" s="1396">
        <v>0</v>
      </c>
      <c r="K237" s="1397">
        <v>0</v>
      </c>
      <c r="L237" s="487"/>
    </row>
    <row r="238" spans="2:12" s="462" customFormat="1" outlineLevel="2" x14ac:dyDescent="0.25">
      <c r="B238" s="88" t="s">
        <v>731</v>
      </c>
      <c r="C238" s="1396">
        <v>0</v>
      </c>
      <c r="D238" s="1396">
        <v>0</v>
      </c>
      <c r="E238" s="1396">
        <v>0</v>
      </c>
      <c r="F238" s="1396">
        <v>0</v>
      </c>
      <c r="G238" s="1420">
        <v>0</v>
      </c>
      <c r="H238" s="1406">
        <v>0</v>
      </c>
      <c r="I238" s="1406">
        <v>0</v>
      </c>
      <c r="J238" s="1396">
        <v>0</v>
      </c>
      <c r="K238" s="1397">
        <v>0</v>
      </c>
      <c r="L238" s="487"/>
    </row>
    <row r="239" spans="2:12" s="462" customFormat="1" outlineLevel="2" x14ac:dyDescent="0.25">
      <c r="B239" s="88" t="s">
        <v>732</v>
      </c>
      <c r="C239" s="1396">
        <v>0</v>
      </c>
      <c r="D239" s="1396">
        <v>0</v>
      </c>
      <c r="E239" s="1396">
        <v>0</v>
      </c>
      <c r="F239" s="1396">
        <v>0</v>
      </c>
      <c r="G239" s="1420">
        <v>0</v>
      </c>
      <c r="H239" s="1406">
        <v>0</v>
      </c>
      <c r="I239" s="1406">
        <v>0</v>
      </c>
      <c r="J239" s="1396">
        <v>0</v>
      </c>
      <c r="K239" s="1397">
        <v>0</v>
      </c>
      <c r="L239" s="521"/>
    </row>
    <row r="240" spans="2:12" s="462" customFormat="1" ht="15.75" outlineLevel="2" thickBot="1" x14ac:dyDescent="0.3">
      <c r="B240" s="88" t="s">
        <v>223</v>
      </c>
      <c r="C240" s="1400">
        <v>0</v>
      </c>
      <c r="D240" s="1400">
        <v>0</v>
      </c>
      <c r="E240" s="1400">
        <v>0</v>
      </c>
      <c r="F240" s="1400">
        <v>0</v>
      </c>
      <c r="G240" s="1421">
        <v>0</v>
      </c>
      <c r="H240" s="1402">
        <v>0</v>
      </c>
      <c r="I240" s="1402">
        <v>0</v>
      </c>
      <c r="J240" s="1400">
        <v>0</v>
      </c>
      <c r="K240" s="1403">
        <v>0</v>
      </c>
      <c r="L240" s="487"/>
    </row>
    <row r="241" spans="2:12" s="462" customFormat="1" outlineLevel="2" x14ac:dyDescent="0.25">
      <c r="B241" s="464" t="s">
        <v>715</v>
      </c>
      <c r="C241" s="465"/>
      <c r="D241" s="465"/>
      <c r="E241" s="465"/>
      <c r="F241" s="465"/>
      <c r="G241" s="465"/>
      <c r="H241" s="465"/>
      <c r="I241" s="465"/>
      <c r="J241" s="465"/>
      <c r="K241" s="466"/>
      <c r="L241" s="487"/>
    </row>
    <row r="242" spans="2:12" s="462" customFormat="1" outlineLevel="2" x14ac:dyDescent="0.25">
      <c r="B242" s="88" t="s">
        <v>727</v>
      </c>
      <c r="C242" s="1499">
        <v>2.1984259717593383E-3</v>
      </c>
      <c r="D242" s="1499">
        <v>2.240399777440612E-3</v>
      </c>
      <c r="E242" s="1499">
        <v>2.1321510697363453E-3</v>
      </c>
      <c r="F242" s="1499">
        <v>2.5001014038952022E-3</v>
      </c>
      <c r="G242" s="1500">
        <v>6.6624582187235467E-4</v>
      </c>
      <c r="H242" s="1501">
        <v>2.5216865039338307E-4</v>
      </c>
      <c r="I242" s="1501">
        <v>2.5211956921841928E-4</v>
      </c>
      <c r="J242" s="1499">
        <v>0</v>
      </c>
      <c r="K242" s="1502">
        <v>2.521659160948174E-4</v>
      </c>
      <c r="L242" s="487"/>
    </row>
    <row r="243" spans="2:12" s="462" customFormat="1" outlineLevel="2" x14ac:dyDescent="0.25">
      <c r="B243" s="88" t="s">
        <v>728</v>
      </c>
      <c r="C243" s="1396">
        <v>2.7305646645979656E-3</v>
      </c>
      <c r="D243" s="1396">
        <v>2.7826984148830694E-3</v>
      </c>
      <c r="E243" s="1396">
        <v>2.6482476305297897E-3</v>
      </c>
      <c r="F243" s="1396">
        <v>3.1052619642792886E-3</v>
      </c>
      <c r="G243" s="1420">
        <v>8.2751355856881825E-4</v>
      </c>
      <c r="H243" s="1406">
        <v>7.5650595118014927E-4</v>
      </c>
      <c r="I243" s="1406">
        <v>2.5211956921841928E-4</v>
      </c>
      <c r="J243" s="1396">
        <v>0</v>
      </c>
      <c r="K243" s="1397">
        <v>0</v>
      </c>
      <c r="L243" s="487"/>
    </row>
    <row r="244" spans="2:12" s="462" customFormat="1" outlineLevel="2" x14ac:dyDescent="0.25">
      <c r="B244" s="88" t="s">
        <v>729</v>
      </c>
      <c r="C244" s="1396">
        <v>9.7260966732825235E-3</v>
      </c>
      <c r="D244" s="1396">
        <v>9.9117937570351033E-3</v>
      </c>
      <c r="E244" s="1396">
        <v>9.4328886633843739E-3</v>
      </c>
      <c r="F244" s="1396">
        <v>1.1060744487036105E-2</v>
      </c>
      <c r="G244" s="1420">
        <v>2.9475503632789375E-3</v>
      </c>
      <c r="H244" s="1406">
        <v>7.5650595118014927E-4</v>
      </c>
      <c r="I244" s="1406">
        <v>9.3284240610815132E-3</v>
      </c>
      <c r="J244" s="1396">
        <v>2.5212173042236946E-4</v>
      </c>
      <c r="K244" s="1397">
        <v>5.0433183218963481E-4</v>
      </c>
      <c r="L244" s="487"/>
    </row>
    <row r="245" spans="2:12" s="462" customFormat="1" outlineLevel="2" x14ac:dyDescent="0.25">
      <c r="B245" s="88" t="s">
        <v>730</v>
      </c>
      <c r="C245" s="1396">
        <v>0</v>
      </c>
      <c r="D245" s="1396">
        <v>0</v>
      </c>
      <c r="E245" s="1396">
        <v>0</v>
      </c>
      <c r="F245" s="1396">
        <v>0</v>
      </c>
      <c r="G245" s="1420">
        <v>0</v>
      </c>
      <c r="H245" s="1406">
        <v>0</v>
      </c>
      <c r="I245" s="1406">
        <v>0</v>
      </c>
      <c r="J245" s="1396">
        <v>0</v>
      </c>
      <c r="K245" s="1397">
        <v>0</v>
      </c>
      <c r="L245" s="487"/>
    </row>
    <row r="246" spans="2:12" s="462" customFormat="1" outlineLevel="2" x14ac:dyDescent="0.25">
      <c r="B246" s="88" t="s">
        <v>731</v>
      </c>
      <c r="C246" s="1396">
        <v>0.14808244099944057</v>
      </c>
      <c r="D246" s="1396">
        <v>0.15090972910609671</v>
      </c>
      <c r="E246" s="1396">
        <v>0.14361827009051084</v>
      </c>
      <c r="F246" s="1396">
        <v>0.16840281337226576</v>
      </c>
      <c r="G246" s="1420">
        <v>4.4877248029226338E-2</v>
      </c>
      <c r="H246" s="1406">
        <v>1.0338914666128707E-2</v>
      </c>
      <c r="I246" s="1406">
        <v>0.10664657777939135</v>
      </c>
      <c r="J246" s="1396">
        <v>7.0594084518263442E-3</v>
      </c>
      <c r="K246" s="1397">
        <v>8.069309315034157E-3</v>
      </c>
      <c r="L246" s="487"/>
    </row>
    <row r="247" spans="2:12" s="462" customFormat="1" outlineLevel="2" x14ac:dyDescent="0.25">
      <c r="B247" s="88" t="s">
        <v>732</v>
      </c>
      <c r="C247" s="1396">
        <v>0</v>
      </c>
      <c r="D247" s="1396">
        <v>0</v>
      </c>
      <c r="E247" s="1396">
        <v>0</v>
      </c>
      <c r="F247" s="1396">
        <v>0</v>
      </c>
      <c r="G247" s="1420">
        <v>0</v>
      </c>
      <c r="H247" s="1406">
        <v>0</v>
      </c>
      <c r="I247" s="1406">
        <v>0</v>
      </c>
      <c r="J247" s="1396">
        <v>0</v>
      </c>
      <c r="K247" s="1397">
        <v>0</v>
      </c>
      <c r="L247" s="521"/>
    </row>
    <row r="248" spans="2:12" s="462" customFormat="1" ht="15.75" outlineLevel="2" thickBot="1" x14ac:dyDescent="0.3">
      <c r="B248" s="88" t="s">
        <v>223</v>
      </c>
      <c r="C248" s="1400">
        <v>2.3649832973875358E-2</v>
      </c>
      <c r="D248" s="1400">
        <v>2.4101371259172093E-2</v>
      </c>
      <c r="E248" s="1400">
        <v>2.2936872708968461E-2</v>
      </c>
      <c r="F248" s="1400">
        <v>2.6895142879227892E-2</v>
      </c>
      <c r="G248" s="1421">
        <v>7.1672199151713708E-3</v>
      </c>
      <c r="H248" s="1402">
        <v>1.2608432519669154E-3</v>
      </c>
      <c r="I248" s="1402">
        <v>9.8326631995183517E-3</v>
      </c>
      <c r="J248" s="1400">
        <v>2.5212173042236945E-3</v>
      </c>
      <c r="K248" s="1403">
        <v>7.5649774828445227E-4</v>
      </c>
      <c r="L248" s="487"/>
    </row>
    <row r="249" spans="2:12" s="462" customFormat="1" outlineLevel="2" x14ac:dyDescent="0.25">
      <c r="B249" s="464" t="s">
        <v>716</v>
      </c>
      <c r="C249" s="465"/>
      <c r="D249" s="465"/>
      <c r="E249" s="465"/>
      <c r="F249" s="465"/>
      <c r="G249" s="465"/>
      <c r="H249" s="465"/>
      <c r="I249" s="465"/>
      <c r="J249" s="465"/>
      <c r="K249" s="466"/>
      <c r="L249" s="487"/>
    </row>
    <row r="250" spans="2:12" s="462" customFormat="1" outlineLevel="2" x14ac:dyDescent="0.25">
      <c r="B250" s="88" t="s">
        <v>727</v>
      </c>
      <c r="C250" s="1499">
        <v>0</v>
      </c>
      <c r="D250" s="1499">
        <v>0</v>
      </c>
      <c r="E250" s="1499">
        <v>0</v>
      </c>
      <c r="F250" s="1499">
        <v>0</v>
      </c>
      <c r="G250" s="1500">
        <v>0</v>
      </c>
      <c r="H250" s="1501">
        <v>0</v>
      </c>
      <c r="I250" s="1501">
        <v>0</v>
      </c>
      <c r="J250" s="1499">
        <v>0</v>
      </c>
      <c r="K250" s="1502">
        <v>0</v>
      </c>
      <c r="L250" s="487"/>
    </row>
    <row r="251" spans="2:12" s="462" customFormat="1" outlineLevel="2" x14ac:dyDescent="0.25">
      <c r="B251" s="88" t="s">
        <v>728</v>
      </c>
      <c r="C251" s="1396">
        <v>0</v>
      </c>
      <c r="D251" s="1396">
        <v>0</v>
      </c>
      <c r="E251" s="1396">
        <v>0</v>
      </c>
      <c r="F251" s="1396">
        <v>0</v>
      </c>
      <c r="G251" s="1420">
        <v>0</v>
      </c>
      <c r="H251" s="1406">
        <v>0</v>
      </c>
      <c r="I251" s="1406">
        <v>0</v>
      </c>
      <c r="J251" s="1396">
        <v>0</v>
      </c>
      <c r="K251" s="1397">
        <v>0</v>
      </c>
      <c r="L251" s="487"/>
    </row>
    <row r="252" spans="2:12" s="462" customFormat="1" outlineLevel="2" x14ac:dyDescent="0.25">
      <c r="B252" s="88" t="s">
        <v>729</v>
      </c>
      <c r="C252" s="1396">
        <v>0</v>
      </c>
      <c r="D252" s="1396">
        <v>8.2261940097196268E-4</v>
      </c>
      <c r="E252" s="1396">
        <v>0</v>
      </c>
      <c r="F252" s="1396">
        <v>3.4627120912375932E-4</v>
      </c>
      <c r="G252" s="1420">
        <v>0</v>
      </c>
      <c r="H252" s="1406">
        <v>9.4388012533252134E-3</v>
      </c>
      <c r="I252" s="1406">
        <v>8.9902671367977026E-4</v>
      </c>
      <c r="J252" s="1396">
        <v>6.8058045345714452E-4</v>
      </c>
      <c r="K252" s="1397">
        <v>0</v>
      </c>
      <c r="L252" s="487"/>
    </row>
    <row r="253" spans="2:12" s="462" customFormat="1" outlineLevel="2" x14ac:dyDescent="0.25">
      <c r="B253" s="88" t="s">
        <v>730</v>
      </c>
      <c r="C253" s="1396">
        <v>0</v>
      </c>
      <c r="D253" s="1396">
        <v>0</v>
      </c>
      <c r="E253" s="1396">
        <v>0</v>
      </c>
      <c r="F253" s="1396">
        <v>0</v>
      </c>
      <c r="G253" s="1420">
        <v>0</v>
      </c>
      <c r="H253" s="1406">
        <v>0</v>
      </c>
      <c r="I253" s="1406">
        <v>0</v>
      </c>
      <c r="J253" s="1396">
        <v>0</v>
      </c>
      <c r="K253" s="1397">
        <v>0</v>
      </c>
      <c r="L253" s="487"/>
    </row>
    <row r="254" spans="2:12" s="462" customFormat="1" outlineLevel="2" x14ac:dyDescent="0.25">
      <c r="B254" s="88" t="s">
        <v>731</v>
      </c>
      <c r="C254" s="1396">
        <v>4.7153276995839495E-2</v>
      </c>
      <c r="D254" s="1396">
        <v>0</v>
      </c>
      <c r="E254" s="1396">
        <v>2.3186572869828375E-2</v>
      </c>
      <c r="F254" s="1396">
        <v>0</v>
      </c>
      <c r="G254" s="1420">
        <v>2.111409559105036E-3</v>
      </c>
      <c r="H254" s="1406">
        <v>8.0904010742787556E-3</v>
      </c>
      <c r="I254" s="1406">
        <v>0.14833940775716209</v>
      </c>
      <c r="J254" s="1396">
        <v>1.2250448162228601E-2</v>
      </c>
      <c r="K254" s="1397">
        <v>1.2721783085117211E-2</v>
      </c>
      <c r="L254" s="487"/>
    </row>
    <row r="255" spans="2:12" s="462" customFormat="1" outlineLevel="2" x14ac:dyDescent="0.25">
      <c r="B255" s="88" t="s">
        <v>732</v>
      </c>
      <c r="C255" s="1396">
        <v>0</v>
      </c>
      <c r="D255" s="1396">
        <v>0</v>
      </c>
      <c r="E255" s="1396">
        <v>0</v>
      </c>
      <c r="F255" s="1396">
        <v>0</v>
      </c>
      <c r="G255" s="1420">
        <v>0</v>
      </c>
      <c r="H255" s="1406">
        <v>0</v>
      </c>
      <c r="I255" s="1406">
        <v>0</v>
      </c>
      <c r="J255" s="1396">
        <v>0</v>
      </c>
      <c r="K255" s="1397">
        <v>0</v>
      </c>
      <c r="L255" s="521"/>
    </row>
    <row r="256" spans="2:12" s="462" customFormat="1" ht="15.75" outlineLevel="2" thickBot="1" x14ac:dyDescent="0.3">
      <c r="B256" s="88" t="s">
        <v>223</v>
      </c>
      <c r="C256" s="1400">
        <v>2.5533022438056605E-3</v>
      </c>
      <c r="D256" s="1400">
        <v>0</v>
      </c>
      <c r="E256" s="1400">
        <v>1.2555294627756175E-3</v>
      </c>
      <c r="F256" s="1400">
        <v>0</v>
      </c>
      <c r="G256" s="1421">
        <v>1.1433069148791678E-4</v>
      </c>
      <c r="H256" s="1402">
        <v>0</v>
      </c>
      <c r="I256" s="1402">
        <v>9.8892938504774718E-3</v>
      </c>
      <c r="J256" s="1400">
        <v>1.361160906914289E-3</v>
      </c>
      <c r="K256" s="1403">
        <v>6.0579919452939093E-4</v>
      </c>
      <c r="L256" s="487"/>
    </row>
    <row r="257" spans="2:12" s="462" customFormat="1" outlineLevel="2" x14ac:dyDescent="0.25">
      <c r="B257" s="464" t="s">
        <v>717</v>
      </c>
      <c r="C257" s="465"/>
      <c r="D257" s="465"/>
      <c r="E257" s="465"/>
      <c r="F257" s="465"/>
      <c r="G257" s="465"/>
      <c r="H257" s="465"/>
      <c r="I257" s="465"/>
      <c r="J257" s="465"/>
      <c r="K257" s="466"/>
      <c r="L257" s="487"/>
    </row>
    <row r="258" spans="2:12" s="462" customFormat="1" outlineLevel="2" x14ac:dyDescent="0.25">
      <c r="B258" s="88" t="s">
        <v>727</v>
      </c>
      <c r="C258" s="1499">
        <v>0</v>
      </c>
      <c r="D258" s="1499">
        <v>0</v>
      </c>
      <c r="E258" s="1499">
        <v>0</v>
      </c>
      <c r="F258" s="1499">
        <v>0</v>
      </c>
      <c r="G258" s="1500">
        <v>0</v>
      </c>
      <c r="H258" s="1501">
        <v>0</v>
      </c>
      <c r="I258" s="1501">
        <v>0</v>
      </c>
      <c r="J258" s="1499">
        <v>0</v>
      </c>
      <c r="K258" s="1502">
        <v>0</v>
      </c>
      <c r="L258" s="487"/>
    </row>
    <row r="259" spans="2:12" s="462" customFormat="1" outlineLevel="2" x14ac:dyDescent="0.25">
      <c r="B259" s="88" t="s">
        <v>728</v>
      </c>
      <c r="C259" s="1396">
        <v>0</v>
      </c>
      <c r="D259" s="1396">
        <v>0</v>
      </c>
      <c r="E259" s="1396">
        <v>0</v>
      </c>
      <c r="F259" s="1396">
        <v>0</v>
      </c>
      <c r="G259" s="1420">
        <v>0</v>
      </c>
      <c r="H259" s="1406">
        <v>0</v>
      </c>
      <c r="I259" s="1406">
        <v>0</v>
      </c>
      <c r="J259" s="1396">
        <v>0</v>
      </c>
      <c r="K259" s="1397">
        <v>0</v>
      </c>
      <c r="L259" s="487"/>
    </row>
    <row r="260" spans="2:12" s="462" customFormat="1" outlineLevel="2" x14ac:dyDescent="0.25">
      <c r="B260" s="88" t="s">
        <v>729</v>
      </c>
      <c r="C260" s="1396">
        <v>0</v>
      </c>
      <c r="D260" s="1396">
        <v>0</v>
      </c>
      <c r="E260" s="1396">
        <v>0</v>
      </c>
      <c r="F260" s="1396">
        <v>0</v>
      </c>
      <c r="G260" s="1420">
        <v>0</v>
      </c>
      <c r="H260" s="1406">
        <v>0</v>
      </c>
      <c r="I260" s="1406">
        <v>0</v>
      </c>
      <c r="J260" s="1396">
        <v>0</v>
      </c>
      <c r="K260" s="1397">
        <v>0</v>
      </c>
      <c r="L260" s="487"/>
    </row>
    <row r="261" spans="2:12" s="462" customFormat="1" outlineLevel="2" x14ac:dyDescent="0.25">
      <c r="B261" s="88" t="s">
        <v>730</v>
      </c>
      <c r="C261" s="1396">
        <v>0</v>
      </c>
      <c r="D261" s="1396">
        <v>0</v>
      </c>
      <c r="E261" s="1396">
        <v>0</v>
      </c>
      <c r="F261" s="1396">
        <v>0</v>
      </c>
      <c r="G261" s="1420">
        <v>0</v>
      </c>
      <c r="H261" s="1406">
        <v>0</v>
      </c>
      <c r="I261" s="1406">
        <v>0</v>
      </c>
      <c r="J261" s="1396">
        <v>0</v>
      </c>
      <c r="K261" s="1397">
        <v>0</v>
      </c>
      <c r="L261" s="487"/>
    </row>
    <row r="262" spans="2:12" s="462" customFormat="1" outlineLevel="2" x14ac:dyDescent="0.25">
      <c r="B262" s="88" t="s">
        <v>731</v>
      </c>
      <c r="C262" s="1396">
        <v>0</v>
      </c>
      <c r="D262" s="1396">
        <v>0</v>
      </c>
      <c r="E262" s="1396">
        <v>0</v>
      </c>
      <c r="F262" s="1396">
        <v>0</v>
      </c>
      <c r="G262" s="1420">
        <v>0</v>
      </c>
      <c r="H262" s="1406">
        <v>0</v>
      </c>
      <c r="I262" s="1406">
        <v>0</v>
      </c>
      <c r="J262" s="1396">
        <v>0</v>
      </c>
      <c r="K262" s="1397">
        <v>0</v>
      </c>
      <c r="L262" s="487"/>
    </row>
    <row r="263" spans="2:12" s="462" customFormat="1" outlineLevel="2" x14ac:dyDescent="0.25">
      <c r="B263" s="88" t="s">
        <v>732</v>
      </c>
      <c r="C263" s="1396">
        <v>0</v>
      </c>
      <c r="D263" s="1396">
        <v>0</v>
      </c>
      <c r="E263" s="1396">
        <v>0</v>
      </c>
      <c r="F263" s="1396">
        <v>0</v>
      </c>
      <c r="G263" s="1420">
        <v>0</v>
      </c>
      <c r="H263" s="1406">
        <v>0</v>
      </c>
      <c r="I263" s="1406">
        <v>0</v>
      </c>
      <c r="J263" s="1396">
        <v>0</v>
      </c>
      <c r="K263" s="1397">
        <v>0</v>
      </c>
      <c r="L263" s="521"/>
    </row>
    <row r="264" spans="2:12" s="462" customFormat="1" ht="15.75" outlineLevel="2" thickBot="1" x14ac:dyDescent="0.3">
      <c r="B264" s="88" t="s">
        <v>223</v>
      </c>
      <c r="C264" s="1400">
        <v>0</v>
      </c>
      <c r="D264" s="1400">
        <v>0</v>
      </c>
      <c r="E264" s="1400">
        <v>0</v>
      </c>
      <c r="F264" s="1400">
        <v>0</v>
      </c>
      <c r="G264" s="1421">
        <v>0</v>
      </c>
      <c r="H264" s="1402">
        <v>0</v>
      </c>
      <c r="I264" s="1402">
        <v>0</v>
      </c>
      <c r="J264" s="1400">
        <v>0</v>
      </c>
      <c r="K264" s="1403">
        <v>0</v>
      </c>
      <c r="L264" s="487"/>
    </row>
    <row r="265" spans="2:12" s="462" customFormat="1" outlineLevel="2" x14ac:dyDescent="0.25">
      <c r="B265" s="464" t="s">
        <v>718</v>
      </c>
      <c r="C265" s="465"/>
      <c r="D265" s="465"/>
      <c r="E265" s="465"/>
      <c r="F265" s="465"/>
      <c r="G265" s="465"/>
      <c r="H265" s="465"/>
      <c r="I265" s="465"/>
      <c r="J265" s="465"/>
      <c r="K265" s="466"/>
      <c r="L265" s="487"/>
    </row>
    <row r="266" spans="2:12" s="462" customFormat="1" outlineLevel="2" x14ac:dyDescent="0.25">
      <c r="B266" s="88" t="s">
        <v>727</v>
      </c>
      <c r="C266" s="1499">
        <v>1.0102141003153599E-3</v>
      </c>
      <c r="D266" s="1499">
        <v>1.3516707557239323E-3</v>
      </c>
      <c r="E266" s="1499">
        <v>1.4341092164691367E-3</v>
      </c>
      <c r="F266" s="1499">
        <v>1.5087051905983489E-3</v>
      </c>
      <c r="G266" s="1500">
        <v>4.9027126860405699E-4</v>
      </c>
      <c r="H266" s="1501">
        <v>3.6320184215974343E-4</v>
      </c>
      <c r="I266" s="1501">
        <v>0</v>
      </c>
      <c r="J266" s="1499">
        <v>0</v>
      </c>
      <c r="K266" s="1502">
        <v>3.6343680379137273E-4</v>
      </c>
      <c r="L266" s="487"/>
    </row>
    <row r="267" spans="2:12" s="462" customFormat="1" outlineLevel="2" x14ac:dyDescent="0.25">
      <c r="B267" s="88" t="s">
        <v>728</v>
      </c>
      <c r="C267" s="1396">
        <v>5.5537836794588495E-4</v>
      </c>
      <c r="D267" s="1396">
        <v>7.4309861452121395E-4</v>
      </c>
      <c r="E267" s="1396">
        <v>7.8842023275080481E-4</v>
      </c>
      <c r="F267" s="1396">
        <v>8.2943034175075089E-4</v>
      </c>
      <c r="G267" s="1420">
        <v>2.6953301970649574E-4</v>
      </c>
      <c r="H267" s="1406">
        <v>3.6320184215974343E-4</v>
      </c>
      <c r="I267" s="1406">
        <v>0</v>
      </c>
      <c r="J267" s="1396">
        <v>0</v>
      </c>
      <c r="K267" s="1397">
        <v>0</v>
      </c>
      <c r="L267" s="487"/>
    </row>
    <row r="268" spans="2:12" s="462" customFormat="1" outlineLevel="2" x14ac:dyDescent="0.25">
      <c r="B268" s="88" t="s">
        <v>729</v>
      </c>
      <c r="C268" s="1396">
        <v>1.5860041694044067E-2</v>
      </c>
      <c r="D268" s="1396">
        <v>2.122080313045465E-2</v>
      </c>
      <c r="E268" s="1396">
        <v>2.2515060876613213E-2</v>
      </c>
      <c r="F268" s="1396">
        <v>2.3686194064645148E-2</v>
      </c>
      <c r="G268" s="1420">
        <v>7.6971037713934728E-3</v>
      </c>
      <c r="H268" s="1406">
        <v>2.1792110529584604E-3</v>
      </c>
      <c r="I268" s="1406">
        <v>4.2867813102147455E-2</v>
      </c>
      <c r="J268" s="1396">
        <v>1.8169087267543335E-3</v>
      </c>
      <c r="K268" s="1397">
        <v>1.4537472151654909E-3</v>
      </c>
      <c r="L268" s="487"/>
    </row>
    <row r="269" spans="2:12" s="462" customFormat="1" outlineLevel="2" x14ac:dyDescent="0.25">
      <c r="B269" s="88" t="s">
        <v>730</v>
      </c>
      <c r="C269" s="1396">
        <v>0</v>
      </c>
      <c r="D269" s="1396">
        <v>0</v>
      </c>
      <c r="E269" s="1396">
        <v>0</v>
      </c>
      <c r="F269" s="1396">
        <v>0</v>
      </c>
      <c r="G269" s="1420">
        <v>0</v>
      </c>
      <c r="H269" s="1406">
        <v>0</v>
      </c>
      <c r="I269" s="1406">
        <v>0</v>
      </c>
      <c r="J269" s="1396">
        <v>0</v>
      </c>
      <c r="K269" s="1397">
        <v>0</v>
      </c>
      <c r="L269" s="487"/>
    </row>
    <row r="270" spans="2:12" s="462" customFormat="1" outlineLevel="2" x14ac:dyDescent="0.25">
      <c r="B270" s="88" t="s">
        <v>731</v>
      </c>
      <c r="C270" s="1396">
        <v>0.16557089605838562</v>
      </c>
      <c r="D270" s="1396">
        <v>0.22153456196192828</v>
      </c>
      <c r="E270" s="1396">
        <v>0.23504596495164756</v>
      </c>
      <c r="F270" s="1396">
        <v>0.24727200918827644</v>
      </c>
      <c r="G270" s="1420">
        <v>8.0353910353374358E-2</v>
      </c>
      <c r="H270" s="1406">
        <v>2.6513734477661272E-2</v>
      </c>
      <c r="I270" s="1406">
        <v>0.18345970861512259</v>
      </c>
      <c r="J270" s="1396">
        <v>3.633817453508667E-2</v>
      </c>
      <c r="K270" s="1397">
        <v>3.6343680379137273E-2</v>
      </c>
      <c r="L270" s="487"/>
    </row>
    <row r="271" spans="2:12" s="462" customFormat="1" outlineLevel="2" x14ac:dyDescent="0.25">
      <c r="B271" s="88" t="s">
        <v>732</v>
      </c>
      <c r="C271" s="1396">
        <v>0</v>
      </c>
      <c r="D271" s="1396">
        <v>0</v>
      </c>
      <c r="E271" s="1396">
        <v>0</v>
      </c>
      <c r="F271" s="1396">
        <v>0</v>
      </c>
      <c r="G271" s="1420">
        <v>0</v>
      </c>
      <c r="H271" s="1406">
        <v>0</v>
      </c>
      <c r="I271" s="1406">
        <v>0</v>
      </c>
      <c r="J271" s="1396">
        <v>0</v>
      </c>
      <c r="K271" s="1397">
        <v>0</v>
      </c>
      <c r="L271" s="521"/>
    </row>
    <row r="272" spans="2:12" s="462" customFormat="1" ht="15.75" outlineLevel="2" thickBot="1" x14ac:dyDescent="0.3">
      <c r="B272" s="88" t="s">
        <v>223</v>
      </c>
      <c r="C272" s="1400">
        <v>2.8047249598745345E-2</v>
      </c>
      <c r="D272" s="1400">
        <v>3.7527339055433165E-2</v>
      </c>
      <c r="E272" s="1400">
        <v>3.9816133167825105E-2</v>
      </c>
      <c r="F272" s="1400">
        <v>4.1887191080014645E-2</v>
      </c>
      <c r="G272" s="1421">
        <v>1.3611729075389973E-2</v>
      </c>
      <c r="H272" s="1402">
        <v>5.0848257902364078E-3</v>
      </c>
      <c r="I272" s="1402">
        <v>3.7781801378163858E-2</v>
      </c>
      <c r="J272" s="1400">
        <v>6.5408714163156011E-3</v>
      </c>
      <c r="K272" s="1403">
        <v>3.9978048417050995E-3</v>
      </c>
      <c r="L272" s="487"/>
    </row>
    <row r="273" spans="2:12" s="462" customFormat="1" outlineLevel="2" x14ac:dyDescent="0.25">
      <c r="B273" s="464" t="s">
        <v>719</v>
      </c>
      <c r="C273" s="465"/>
      <c r="D273" s="465"/>
      <c r="E273" s="465"/>
      <c r="F273" s="465"/>
      <c r="G273" s="465"/>
      <c r="H273" s="465"/>
      <c r="I273" s="465"/>
      <c r="J273" s="465"/>
      <c r="K273" s="466"/>
      <c r="L273" s="487"/>
    </row>
    <row r="274" spans="2:12" s="462" customFormat="1" outlineLevel="2" x14ac:dyDescent="0.25">
      <c r="B274" s="88" t="s">
        <v>727</v>
      </c>
      <c r="C274" s="1499">
        <v>0</v>
      </c>
      <c r="D274" s="1499">
        <v>0</v>
      </c>
      <c r="E274" s="1499">
        <v>0</v>
      </c>
      <c r="F274" s="1499">
        <v>0</v>
      </c>
      <c r="G274" s="1500">
        <v>0</v>
      </c>
      <c r="H274" s="1501">
        <v>0</v>
      </c>
      <c r="I274" s="1501">
        <v>0</v>
      </c>
      <c r="J274" s="1499">
        <v>0</v>
      </c>
      <c r="K274" s="1502">
        <v>0</v>
      </c>
      <c r="L274" s="487"/>
    </row>
    <row r="275" spans="2:12" s="462" customFormat="1" outlineLevel="2" x14ac:dyDescent="0.25">
      <c r="B275" s="88" t="s">
        <v>728</v>
      </c>
      <c r="C275" s="1396">
        <v>0</v>
      </c>
      <c r="D275" s="1396">
        <v>0</v>
      </c>
      <c r="E275" s="1396">
        <v>0</v>
      </c>
      <c r="F275" s="1396">
        <v>0</v>
      </c>
      <c r="G275" s="1420">
        <v>0</v>
      </c>
      <c r="H275" s="1406">
        <v>0</v>
      </c>
      <c r="I275" s="1406">
        <v>0</v>
      </c>
      <c r="J275" s="1396">
        <v>0</v>
      </c>
      <c r="K275" s="1397">
        <v>0</v>
      </c>
      <c r="L275" s="487"/>
    </row>
    <row r="276" spans="2:12" s="462" customFormat="1" outlineLevel="2" x14ac:dyDescent="0.25">
      <c r="B276" s="88" t="s">
        <v>729</v>
      </c>
      <c r="C276" s="1396">
        <v>0</v>
      </c>
      <c r="D276" s="1396">
        <v>0</v>
      </c>
      <c r="E276" s="1396">
        <v>0</v>
      </c>
      <c r="F276" s="1396">
        <v>0</v>
      </c>
      <c r="G276" s="1420">
        <v>0</v>
      </c>
      <c r="H276" s="1406">
        <v>0</v>
      </c>
      <c r="I276" s="1406">
        <v>0</v>
      </c>
      <c r="J276" s="1396">
        <v>0</v>
      </c>
      <c r="K276" s="1397">
        <v>0</v>
      </c>
      <c r="L276" s="487"/>
    </row>
    <row r="277" spans="2:12" s="462" customFormat="1" outlineLevel="2" x14ac:dyDescent="0.25">
      <c r="B277" s="88" t="s">
        <v>730</v>
      </c>
      <c r="C277" s="1396">
        <v>0</v>
      </c>
      <c r="D277" s="1396">
        <v>0</v>
      </c>
      <c r="E277" s="1396">
        <v>0</v>
      </c>
      <c r="F277" s="1396">
        <v>0</v>
      </c>
      <c r="G277" s="1420">
        <v>0</v>
      </c>
      <c r="H277" s="1406">
        <v>0</v>
      </c>
      <c r="I277" s="1406">
        <v>0</v>
      </c>
      <c r="J277" s="1396">
        <v>0</v>
      </c>
      <c r="K277" s="1397">
        <v>0</v>
      </c>
      <c r="L277" s="487"/>
    </row>
    <row r="278" spans="2:12" s="462" customFormat="1" outlineLevel="2" x14ac:dyDescent="0.25">
      <c r="B278" s="88" t="s">
        <v>731</v>
      </c>
      <c r="C278" s="1396">
        <v>0</v>
      </c>
      <c r="D278" s="1396">
        <v>0</v>
      </c>
      <c r="E278" s="1396">
        <v>0</v>
      </c>
      <c r="F278" s="1396">
        <v>0</v>
      </c>
      <c r="G278" s="1420">
        <v>0</v>
      </c>
      <c r="H278" s="1406">
        <v>0</v>
      </c>
      <c r="I278" s="1406">
        <v>0</v>
      </c>
      <c r="J278" s="1396">
        <v>0</v>
      </c>
      <c r="K278" s="1397">
        <v>0</v>
      </c>
      <c r="L278" s="487"/>
    </row>
    <row r="279" spans="2:12" s="462" customFormat="1" outlineLevel="2" x14ac:dyDescent="0.25">
      <c r="B279" s="88" t="s">
        <v>732</v>
      </c>
      <c r="C279" s="1396">
        <v>0</v>
      </c>
      <c r="D279" s="1396">
        <v>0</v>
      </c>
      <c r="E279" s="1396">
        <v>0</v>
      </c>
      <c r="F279" s="1396">
        <v>0</v>
      </c>
      <c r="G279" s="1420">
        <v>0</v>
      </c>
      <c r="H279" s="1406">
        <v>0</v>
      </c>
      <c r="I279" s="1406">
        <v>0</v>
      </c>
      <c r="J279" s="1396">
        <v>0</v>
      </c>
      <c r="K279" s="1397">
        <v>0</v>
      </c>
      <c r="L279" s="521"/>
    </row>
    <row r="280" spans="2:12" s="462" customFormat="1" ht="15.75" outlineLevel="2" thickBot="1" x14ac:dyDescent="0.3">
      <c r="B280" s="88" t="s">
        <v>223</v>
      </c>
      <c r="C280" s="1400">
        <v>0</v>
      </c>
      <c r="D280" s="1400">
        <v>0</v>
      </c>
      <c r="E280" s="1400">
        <v>0</v>
      </c>
      <c r="F280" s="1400">
        <v>0</v>
      </c>
      <c r="G280" s="1421">
        <v>0</v>
      </c>
      <c r="H280" s="1402">
        <v>0</v>
      </c>
      <c r="I280" s="1402">
        <v>0</v>
      </c>
      <c r="J280" s="1400">
        <v>0</v>
      </c>
      <c r="K280" s="1403">
        <v>0</v>
      </c>
      <c r="L280" s="487"/>
    </row>
    <row r="281" spans="2:12" s="462" customFormat="1" outlineLevel="2" x14ac:dyDescent="0.25">
      <c r="B281" s="464" t="s">
        <v>781</v>
      </c>
      <c r="C281" s="465"/>
      <c r="D281" s="465"/>
      <c r="E281" s="465"/>
      <c r="F281" s="465"/>
      <c r="G281" s="465"/>
      <c r="H281" s="465"/>
      <c r="I281" s="465"/>
      <c r="J281" s="465"/>
      <c r="K281" s="466"/>
      <c r="L281" s="521"/>
    </row>
    <row r="282" spans="2:12" s="462" customFormat="1" outlineLevel="2" x14ac:dyDescent="0.25">
      <c r="B282" s="88" t="s">
        <v>727</v>
      </c>
      <c r="C282" s="1499">
        <v>0</v>
      </c>
      <c r="D282" s="1499">
        <v>0</v>
      </c>
      <c r="E282" s="1499">
        <v>0</v>
      </c>
      <c r="F282" s="1499">
        <v>0</v>
      </c>
      <c r="G282" s="1500">
        <v>0</v>
      </c>
      <c r="H282" s="1501">
        <v>0</v>
      </c>
      <c r="I282" s="1501">
        <v>0</v>
      </c>
      <c r="J282" s="1499">
        <v>0</v>
      </c>
      <c r="K282" s="1502">
        <v>0</v>
      </c>
      <c r="L282" s="521"/>
    </row>
    <row r="283" spans="2:12" s="462" customFormat="1" outlineLevel="2" x14ac:dyDescent="0.25">
      <c r="B283" s="88" t="s">
        <v>728</v>
      </c>
      <c r="C283" s="1396">
        <v>0</v>
      </c>
      <c r="D283" s="1396">
        <v>0</v>
      </c>
      <c r="E283" s="1396">
        <v>0</v>
      </c>
      <c r="F283" s="1396">
        <v>0</v>
      </c>
      <c r="G283" s="1420">
        <v>0</v>
      </c>
      <c r="H283" s="1406">
        <v>0</v>
      </c>
      <c r="I283" s="1406">
        <v>0</v>
      </c>
      <c r="J283" s="1396">
        <v>0</v>
      </c>
      <c r="K283" s="1397">
        <v>0</v>
      </c>
      <c r="L283" s="521"/>
    </row>
    <row r="284" spans="2:12" s="462" customFormat="1" outlineLevel="2" x14ac:dyDescent="0.25">
      <c r="B284" s="88" t="s">
        <v>729</v>
      </c>
      <c r="C284" s="1396">
        <v>0.7218992248062015</v>
      </c>
      <c r="D284" s="1396">
        <v>0.72632190586868095</v>
      </c>
      <c r="E284" s="1396">
        <v>0.64563106796116509</v>
      </c>
      <c r="F284" s="1396">
        <v>0.19421246844047388</v>
      </c>
      <c r="G284" s="1420">
        <v>3.4053317766102355E-2</v>
      </c>
      <c r="H284" s="1406">
        <v>0</v>
      </c>
      <c r="I284" s="1406">
        <v>0</v>
      </c>
      <c r="J284" s="1396">
        <v>0</v>
      </c>
      <c r="K284" s="1397">
        <v>1.945714563673509E-2</v>
      </c>
      <c r="L284" s="521"/>
    </row>
    <row r="285" spans="2:12" s="462" customFormat="1" outlineLevel="2" x14ac:dyDescent="0.25">
      <c r="B285" s="88" t="s">
        <v>730</v>
      </c>
      <c r="C285" s="1396">
        <v>0</v>
      </c>
      <c r="D285" s="1396">
        <v>0</v>
      </c>
      <c r="E285" s="1396">
        <v>0</v>
      </c>
      <c r="F285" s="1396">
        <v>0</v>
      </c>
      <c r="G285" s="1420">
        <v>0</v>
      </c>
      <c r="H285" s="1406">
        <v>0</v>
      </c>
      <c r="I285" s="1406">
        <v>0</v>
      </c>
      <c r="J285" s="1396">
        <v>0</v>
      </c>
      <c r="K285" s="1397">
        <v>0</v>
      </c>
      <c r="L285" s="521"/>
    </row>
    <row r="286" spans="2:12" s="462" customFormat="1" outlineLevel="2" x14ac:dyDescent="0.25">
      <c r="B286" s="88" t="s">
        <v>731</v>
      </c>
      <c r="C286" s="1396">
        <v>2.1656976744186047</v>
      </c>
      <c r="D286" s="1396">
        <v>2.1789657176060429</v>
      </c>
      <c r="E286" s="1396">
        <v>1.9368932038834952</v>
      </c>
      <c r="F286" s="1396">
        <v>0.58263740532142161</v>
      </c>
      <c r="G286" s="1420">
        <v>0.10215995329830706</v>
      </c>
      <c r="H286" s="1406">
        <v>5.837711617046118E-2</v>
      </c>
      <c r="I286" s="1406">
        <v>9.7295193617435299E-2</v>
      </c>
      <c r="J286" s="1396">
        <v>1.945903872348706E-2</v>
      </c>
      <c r="K286" s="1397">
        <v>0</v>
      </c>
      <c r="L286" s="521"/>
    </row>
    <row r="287" spans="2:12" s="462" customFormat="1" outlineLevel="2" x14ac:dyDescent="0.25">
      <c r="B287" s="88" t="s">
        <v>732</v>
      </c>
      <c r="C287" s="1396">
        <v>0</v>
      </c>
      <c r="D287" s="1396">
        <v>0</v>
      </c>
      <c r="E287" s="1396">
        <v>0</v>
      </c>
      <c r="F287" s="1396">
        <v>0</v>
      </c>
      <c r="G287" s="1420">
        <v>0</v>
      </c>
      <c r="H287" s="1406">
        <v>0</v>
      </c>
      <c r="I287" s="1406">
        <v>0</v>
      </c>
      <c r="J287" s="1396">
        <v>0</v>
      </c>
      <c r="K287" s="1397">
        <v>0</v>
      </c>
      <c r="L287" s="521"/>
    </row>
    <row r="288" spans="2:12" s="462" customFormat="1" ht="15.75" outlineLevel="2" thickBot="1" x14ac:dyDescent="0.3">
      <c r="B288" s="88" t="s">
        <v>223</v>
      </c>
      <c r="C288" s="1400">
        <v>0</v>
      </c>
      <c r="D288" s="1400">
        <v>0</v>
      </c>
      <c r="E288" s="1400">
        <v>0</v>
      </c>
      <c r="F288" s="1400">
        <v>0</v>
      </c>
      <c r="G288" s="1421">
        <v>0</v>
      </c>
      <c r="H288" s="1402">
        <v>0</v>
      </c>
      <c r="I288" s="1402">
        <v>0</v>
      </c>
      <c r="J288" s="1400">
        <v>0</v>
      </c>
      <c r="K288" s="1403">
        <v>0</v>
      </c>
      <c r="L288" s="521"/>
    </row>
    <row r="289" spans="2:12" s="462" customFormat="1" outlineLevel="2" x14ac:dyDescent="0.25">
      <c r="B289" s="464" t="s">
        <v>720</v>
      </c>
      <c r="C289" s="465"/>
      <c r="D289" s="465"/>
      <c r="E289" s="465"/>
      <c r="F289" s="465"/>
      <c r="G289" s="465"/>
      <c r="H289" s="465"/>
      <c r="I289" s="465"/>
      <c r="J289" s="465"/>
      <c r="K289" s="466"/>
      <c r="L289" s="487"/>
    </row>
    <row r="290" spans="2:12" s="462" customFormat="1" outlineLevel="2" x14ac:dyDescent="0.25">
      <c r="B290" s="88" t="s">
        <v>727</v>
      </c>
      <c r="C290" s="1499">
        <v>0</v>
      </c>
      <c r="D290" s="1499">
        <v>0</v>
      </c>
      <c r="E290" s="1499">
        <v>0</v>
      </c>
      <c r="F290" s="1499">
        <v>0</v>
      </c>
      <c r="G290" s="1500">
        <v>0</v>
      </c>
      <c r="H290" s="1501">
        <v>0</v>
      </c>
      <c r="I290" s="1501">
        <v>0</v>
      </c>
      <c r="J290" s="1499">
        <v>0</v>
      </c>
      <c r="K290" s="1502">
        <v>0</v>
      </c>
      <c r="L290" s="487"/>
    </row>
    <row r="291" spans="2:12" s="462" customFormat="1" outlineLevel="2" x14ac:dyDescent="0.25">
      <c r="B291" s="88" t="s">
        <v>728</v>
      </c>
      <c r="C291" s="1396">
        <v>0</v>
      </c>
      <c r="D291" s="1396">
        <v>0</v>
      </c>
      <c r="E291" s="1396">
        <v>0</v>
      </c>
      <c r="F291" s="1396">
        <v>0</v>
      </c>
      <c r="G291" s="1420">
        <v>0</v>
      </c>
      <c r="H291" s="1406">
        <v>0</v>
      </c>
      <c r="I291" s="1406">
        <v>0</v>
      </c>
      <c r="J291" s="1396">
        <v>0</v>
      </c>
      <c r="K291" s="1397">
        <v>0</v>
      </c>
      <c r="L291" s="487"/>
    </row>
    <row r="292" spans="2:12" s="462" customFormat="1" outlineLevel="2" x14ac:dyDescent="0.25">
      <c r="B292" s="88" t="s">
        <v>729</v>
      </c>
      <c r="C292" s="1396">
        <v>0</v>
      </c>
      <c r="D292" s="1396">
        <v>0</v>
      </c>
      <c r="E292" s="1396">
        <v>0</v>
      </c>
      <c r="F292" s="1396">
        <v>0</v>
      </c>
      <c r="G292" s="1420">
        <v>0</v>
      </c>
      <c r="H292" s="1406">
        <v>0</v>
      </c>
      <c r="I292" s="1406">
        <v>0</v>
      </c>
      <c r="J292" s="1396">
        <v>0</v>
      </c>
      <c r="K292" s="1397">
        <v>0</v>
      </c>
      <c r="L292" s="487"/>
    </row>
    <row r="293" spans="2:12" s="462" customFormat="1" outlineLevel="2" x14ac:dyDescent="0.25">
      <c r="B293" s="88" t="s">
        <v>730</v>
      </c>
      <c r="C293" s="1396">
        <v>0</v>
      </c>
      <c r="D293" s="1396">
        <v>0</v>
      </c>
      <c r="E293" s="1396">
        <v>0</v>
      </c>
      <c r="F293" s="1396">
        <v>0</v>
      </c>
      <c r="G293" s="1420">
        <v>0</v>
      </c>
      <c r="H293" s="1406">
        <v>0</v>
      </c>
      <c r="I293" s="1406">
        <v>0</v>
      </c>
      <c r="J293" s="1396">
        <v>0</v>
      </c>
      <c r="K293" s="1397">
        <v>0</v>
      </c>
      <c r="L293" s="487"/>
    </row>
    <row r="294" spans="2:12" s="462" customFormat="1" outlineLevel="2" x14ac:dyDescent="0.25">
      <c r="B294" s="88" t="s">
        <v>731</v>
      </c>
      <c r="C294" s="1396">
        <v>0.90909090909090906</v>
      </c>
      <c r="D294" s="1396">
        <v>0</v>
      </c>
      <c r="E294" s="1396">
        <v>0</v>
      </c>
      <c r="F294" s="1396">
        <v>0</v>
      </c>
      <c r="G294" s="1420">
        <v>1.2422360248447204</v>
      </c>
      <c r="H294" s="1406">
        <v>0</v>
      </c>
      <c r="I294" s="1406">
        <v>0</v>
      </c>
      <c r="J294" s="1396">
        <v>0</v>
      </c>
      <c r="K294" s="1397">
        <v>0</v>
      </c>
      <c r="L294" s="487"/>
    </row>
    <row r="295" spans="2:12" s="462" customFormat="1" outlineLevel="2" x14ac:dyDescent="0.25">
      <c r="B295" s="88" t="s">
        <v>732</v>
      </c>
      <c r="C295" s="1396">
        <v>0</v>
      </c>
      <c r="D295" s="1396">
        <v>0</v>
      </c>
      <c r="E295" s="1396">
        <v>0</v>
      </c>
      <c r="F295" s="1396">
        <v>0</v>
      </c>
      <c r="G295" s="1420">
        <v>0</v>
      </c>
      <c r="H295" s="1406">
        <v>0</v>
      </c>
      <c r="I295" s="1406">
        <v>0</v>
      </c>
      <c r="J295" s="1396">
        <v>0</v>
      </c>
      <c r="K295" s="1397">
        <v>0</v>
      </c>
      <c r="L295" s="521"/>
    </row>
    <row r="296" spans="2:12" s="462" customFormat="1" ht="15.75" outlineLevel="2" thickBot="1" x14ac:dyDescent="0.3">
      <c r="B296" s="88" t="s">
        <v>223</v>
      </c>
      <c r="C296" s="1400">
        <v>0</v>
      </c>
      <c r="D296" s="1400">
        <v>0</v>
      </c>
      <c r="E296" s="1400">
        <v>0</v>
      </c>
      <c r="F296" s="1400">
        <v>0</v>
      </c>
      <c r="G296" s="1421">
        <v>1.2422360248447204</v>
      </c>
      <c r="H296" s="1402">
        <v>0</v>
      </c>
      <c r="I296" s="1402">
        <v>0</v>
      </c>
      <c r="J296" s="1400">
        <v>0</v>
      </c>
      <c r="K296" s="1403">
        <v>0</v>
      </c>
      <c r="L296" s="487"/>
    </row>
    <row r="297" spans="2:12" s="462" customFormat="1" outlineLevel="2" x14ac:dyDescent="0.25">
      <c r="B297" s="464" t="s">
        <v>721</v>
      </c>
      <c r="C297" s="465"/>
      <c r="D297" s="465"/>
      <c r="E297" s="465"/>
      <c r="F297" s="465"/>
      <c r="G297" s="465"/>
      <c r="H297" s="465"/>
      <c r="I297" s="465"/>
      <c r="J297" s="465"/>
      <c r="K297" s="466"/>
      <c r="L297" s="487"/>
    </row>
    <row r="298" spans="2:12" s="462" customFormat="1" outlineLevel="2" x14ac:dyDescent="0.25">
      <c r="B298" s="88" t="s">
        <v>727</v>
      </c>
      <c r="C298" s="1499">
        <v>2.9182671460171944E-3</v>
      </c>
      <c r="D298" s="1499">
        <v>3.046610538818518E-3</v>
      </c>
      <c r="E298" s="1499">
        <v>3.4205343833825235E-3</v>
      </c>
      <c r="F298" s="1499">
        <v>3.4574214824313913E-3</v>
      </c>
      <c r="G298" s="1500">
        <v>1.2017953884374223E-3</v>
      </c>
      <c r="H298" s="1501">
        <v>4.3903687602432786E-4</v>
      </c>
      <c r="I298" s="1501">
        <v>4.3913269536135352E-4</v>
      </c>
      <c r="J298" s="1499">
        <v>0</v>
      </c>
      <c r="K298" s="1502">
        <v>4.3937734957037684E-4</v>
      </c>
      <c r="L298" s="487"/>
    </row>
    <row r="299" spans="2:12" s="462" customFormat="1" outlineLevel="2" x14ac:dyDescent="0.25">
      <c r="B299" s="88" t="s">
        <v>728</v>
      </c>
      <c r="C299" s="1396">
        <v>1.1896353997561471E-4</v>
      </c>
      <c r="D299" s="1396">
        <v>1.2419547508510736E-4</v>
      </c>
      <c r="E299" s="1396">
        <v>1.3943852926927817E-4</v>
      </c>
      <c r="F299" s="1396">
        <v>1.4094223666230195E-4</v>
      </c>
      <c r="G299" s="1420">
        <v>4.8991345405100313E-5</v>
      </c>
      <c r="H299" s="1406">
        <v>0</v>
      </c>
      <c r="I299" s="1406">
        <v>4.3913269536135352E-4</v>
      </c>
      <c r="J299" s="1396">
        <v>0</v>
      </c>
      <c r="K299" s="1397">
        <v>0</v>
      </c>
      <c r="L299" s="487"/>
    </row>
    <row r="300" spans="2:12" s="462" customFormat="1" outlineLevel="2" x14ac:dyDescent="0.25">
      <c r="B300" s="88" t="s">
        <v>729</v>
      </c>
      <c r="C300" s="1396">
        <v>0.10008626883110067</v>
      </c>
      <c r="D300" s="1396">
        <v>0.10448799446891283</v>
      </c>
      <c r="E300" s="1396">
        <v>0.11731226330957339</v>
      </c>
      <c r="F300" s="1396">
        <v>0.11857736068657093</v>
      </c>
      <c r="G300" s="1420">
        <v>4.1217342453135429E-2</v>
      </c>
      <c r="H300" s="1406">
        <v>7.4636268924135737E-3</v>
      </c>
      <c r="I300" s="1406">
        <v>8.2117814032573108E-2</v>
      </c>
      <c r="J300" s="1396">
        <v>9.2238726121699772E-3</v>
      </c>
      <c r="K300" s="1397">
        <v>8.3481696418371606E-3</v>
      </c>
      <c r="L300" s="487"/>
    </row>
    <row r="301" spans="2:12" s="462" customFormat="1" outlineLevel="2" x14ac:dyDescent="0.25">
      <c r="B301" s="88" t="s">
        <v>730</v>
      </c>
      <c r="C301" s="1396">
        <v>0</v>
      </c>
      <c r="D301" s="1396">
        <v>0</v>
      </c>
      <c r="E301" s="1396">
        <v>0</v>
      </c>
      <c r="F301" s="1396">
        <v>0</v>
      </c>
      <c r="G301" s="1420">
        <v>0</v>
      </c>
      <c r="H301" s="1406">
        <v>0</v>
      </c>
      <c r="I301" s="1406">
        <v>0</v>
      </c>
      <c r="J301" s="1396">
        <v>0</v>
      </c>
      <c r="K301" s="1397">
        <v>0</v>
      </c>
      <c r="L301" s="487"/>
    </row>
    <row r="302" spans="2:12" s="462" customFormat="1" outlineLevel="2" x14ac:dyDescent="0.25">
      <c r="B302" s="88" t="s">
        <v>731</v>
      </c>
      <c r="C302" s="1396">
        <v>0.19469549752585488</v>
      </c>
      <c r="D302" s="1396">
        <v>0.20325807232292684</v>
      </c>
      <c r="E302" s="1396">
        <v>0.22820482507430798</v>
      </c>
      <c r="F302" s="1396">
        <v>0.23066578966125684</v>
      </c>
      <c r="G302" s="1420">
        <v>8.0179140348901876E-2</v>
      </c>
      <c r="H302" s="1406">
        <v>1.5366290660851475E-2</v>
      </c>
      <c r="I302" s="1406">
        <v>0.21341848994561782</v>
      </c>
      <c r="J302" s="1396">
        <v>1.62515850785852E-2</v>
      </c>
      <c r="K302" s="1397">
        <v>1.2302565787970551E-2</v>
      </c>
      <c r="L302" s="487"/>
    </row>
    <row r="303" spans="2:12" s="462" customFormat="1" outlineLevel="2" x14ac:dyDescent="0.25">
      <c r="B303" s="88" t="s">
        <v>732</v>
      </c>
      <c r="C303" s="1396">
        <v>0</v>
      </c>
      <c r="D303" s="1396">
        <v>0</v>
      </c>
      <c r="E303" s="1396">
        <v>0</v>
      </c>
      <c r="F303" s="1396">
        <v>0</v>
      </c>
      <c r="G303" s="1420">
        <v>0</v>
      </c>
      <c r="H303" s="1406">
        <v>0</v>
      </c>
      <c r="I303" s="1406">
        <v>0</v>
      </c>
      <c r="J303" s="1396">
        <v>0</v>
      </c>
      <c r="K303" s="1397">
        <v>0</v>
      </c>
      <c r="L303" s="521"/>
    </row>
    <row r="304" spans="2:12" s="462" customFormat="1" ht="15.75" outlineLevel="2" thickBot="1" x14ac:dyDescent="0.3">
      <c r="B304" s="623" t="s">
        <v>223</v>
      </c>
      <c r="C304" s="1400">
        <v>7.4298956000774435E-2</v>
      </c>
      <c r="D304" s="1400">
        <v>7.7566573260472518E-2</v>
      </c>
      <c r="E304" s="1400">
        <v>8.7086658257768998E-2</v>
      </c>
      <c r="F304" s="1400">
        <v>8.8025802212759019E-2</v>
      </c>
      <c r="G304" s="1421">
        <v>3.059765889127395E-2</v>
      </c>
      <c r="H304" s="1402">
        <v>5.2684425122919345E-3</v>
      </c>
      <c r="I304" s="1402">
        <v>4.6987198403664825E-2</v>
      </c>
      <c r="J304" s="1400">
        <v>5.7100163789623667E-3</v>
      </c>
      <c r="K304" s="1403">
        <v>8.7875469914075379E-3</v>
      </c>
      <c r="L304" s="487"/>
    </row>
    <row r="305" spans="1:12" s="462" customFormat="1" outlineLevel="1" x14ac:dyDescent="0.25">
      <c r="A305"/>
      <c r="L305" s="487"/>
    </row>
    <row r="306" spans="1:12" x14ac:dyDescent="0.25">
      <c r="A306"/>
    </row>
    <row r="307" spans="1:12" s="521" customFormat="1" ht="15.75" thickBot="1" x14ac:dyDescent="0.3">
      <c r="A307"/>
      <c r="B307" s="572"/>
      <c r="I307" s="1294"/>
    </row>
    <row r="308" spans="1:12" ht="27.95" customHeight="1" thickBot="1" x14ac:dyDescent="0.3">
      <c r="A308"/>
      <c r="B308" s="84" t="s">
        <v>822</v>
      </c>
      <c r="C308" s="84"/>
      <c r="D308" s="84"/>
      <c r="E308" s="84"/>
      <c r="F308" s="84"/>
      <c r="G308" s="84"/>
      <c r="H308" s="84"/>
      <c r="I308" s="84"/>
      <c r="J308" s="84"/>
      <c r="K308" s="84"/>
    </row>
    <row r="309" spans="1:12" s="91" customFormat="1" ht="21.75" customHeight="1" outlineLevel="2" x14ac:dyDescent="0.25">
      <c r="A309"/>
      <c r="B309" s="521"/>
      <c r="C309" s="1669" t="s">
        <v>701</v>
      </c>
      <c r="D309" s="1670"/>
      <c r="E309" s="1670"/>
      <c r="F309" s="1670"/>
      <c r="G309" s="1670"/>
      <c r="H309" s="1670"/>
      <c r="I309" s="1670"/>
      <c r="J309" s="1670"/>
      <c r="K309" s="1671"/>
      <c r="L309" s="487"/>
    </row>
    <row r="310" spans="1:12" s="91" customFormat="1" outlineLevel="2" x14ac:dyDescent="0.25">
      <c r="A310"/>
      <c r="B310" s="521"/>
      <c r="C310" s="1672" t="s">
        <v>1201</v>
      </c>
      <c r="D310" s="1673"/>
      <c r="E310" s="1673"/>
      <c r="F310" s="1673"/>
      <c r="G310" s="1673"/>
      <c r="H310" s="1673"/>
      <c r="I310" s="1673"/>
      <c r="J310" s="1673"/>
      <c r="K310" s="1674"/>
      <c r="L310" s="487"/>
    </row>
    <row r="311" spans="1:12" s="91" customFormat="1" ht="18" customHeight="1" outlineLevel="2" thickBot="1" x14ac:dyDescent="0.3">
      <c r="A311"/>
      <c r="B311" s="563" t="s">
        <v>726</v>
      </c>
      <c r="C311" s="424">
        <f ca="1">dms_y1</f>
        <v>2011</v>
      </c>
      <c r="D311" s="425">
        <f ca="1">dms_y2</f>
        <v>2012</v>
      </c>
      <c r="E311" s="425">
        <f ca="1">dms_y3</f>
        <v>2013</v>
      </c>
      <c r="F311" s="425">
        <f ca="1">dms_y4</f>
        <v>2014</v>
      </c>
      <c r="G311" s="425">
        <f ca="1">dms_y5</f>
        <v>2015</v>
      </c>
      <c r="H311" s="426">
        <f ca="1">dms_y6</f>
        <v>2016</v>
      </c>
      <c r="I311" s="426">
        <f ca="1">dms_y7</f>
        <v>2017</v>
      </c>
      <c r="J311" s="426">
        <f ca="1">dms_y8</f>
        <v>2018</v>
      </c>
      <c r="K311" s="427">
        <f ca="1">dms_y9</f>
        <v>2019</v>
      </c>
      <c r="L311" s="487"/>
    </row>
    <row r="312" spans="1:12" s="462" customFormat="1" ht="15" customHeight="1" outlineLevel="2" x14ac:dyDescent="0.25">
      <c r="A312"/>
      <c r="B312" s="1339" t="s">
        <v>1345</v>
      </c>
      <c r="C312" s="477">
        <v>2427282.5405928046</v>
      </c>
      <c r="D312" s="477">
        <v>2166086.2931851763</v>
      </c>
      <c r="E312" s="477">
        <v>1984998.6284461059</v>
      </c>
      <c r="F312" s="477">
        <v>2079999.4616641994</v>
      </c>
      <c r="G312" s="1303">
        <v>2337905.6283654477</v>
      </c>
      <c r="H312" s="477">
        <v>2490523.4229378165</v>
      </c>
      <c r="I312" s="477">
        <v>2397016.4909995794</v>
      </c>
      <c r="J312" s="477">
        <v>2303907.6819117777</v>
      </c>
      <c r="K312" s="479">
        <v>2200996.3259084076</v>
      </c>
      <c r="L312" s="487"/>
    </row>
    <row r="313" spans="1:12" s="462" customFormat="1" ht="15" customHeight="1" outlineLevel="2" x14ac:dyDescent="0.25">
      <c r="A313"/>
      <c r="B313" s="1339" t="s">
        <v>1346</v>
      </c>
      <c r="C313" s="334">
        <v>50396.878048200859</v>
      </c>
      <c r="D313" s="334">
        <v>64190.64075327781</v>
      </c>
      <c r="E313" s="334">
        <v>84310.696042990719</v>
      </c>
      <c r="F313" s="334">
        <v>110246.54804989754</v>
      </c>
      <c r="G313" s="350">
        <v>193235.90829259821</v>
      </c>
      <c r="H313" s="334">
        <v>144165.44347167271</v>
      </c>
      <c r="I313" s="334">
        <v>69077.912959588575</v>
      </c>
      <c r="J313" s="334">
        <v>52047.636608386063</v>
      </c>
      <c r="K313" s="299">
        <v>71731.378366107121</v>
      </c>
      <c r="L313" s="487"/>
    </row>
    <row r="314" spans="1:12" s="462" customFormat="1" ht="15" customHeight="1" outlineLevel="2" x14ac:dyDescent="0.25">
      <c r="A314" s="494"/>
      <c r="B314" s="1339"/>
      <c r="C314" s="334"/>
      <c r="D314" s="334"/>
      <c r="E314" s="334"/>
      <c r="F314" s="334"/>
      <c r="G314" s="350"/>
      <c r="H314" s="334"/>
      <c r="I314" s="334"/>
      <c r="J314" s="334"/>
      <c r="K314" s="299"/>
      <c r="L314" s="487"/>
    </row>
    <row r="315" spans="1:12" s="462" customFormat="1" ht="15" customHeight="1" outlineLevel="2" x14ac:dyDescent="0.25">
      <c r="A315" s="494"/>
      <c r="B315" s="1339"/>
      <c r="C315" s="334"/>
      <c r="D315" s="334"/>
      <c r="E315" s="334"/>
      <c r="F315" s="334"/>
      <c r="G315" s="350"/>
      <c r="H315" s="334"/>
      <c r="I315" s="334"/>
      <c r="J315" s="334"/>
      <c r="K315" s="299"/>
      <c r="L315" s="487"/>
    </row>
    <row r="316" spans="1:12" s="462" customFormat="1" ht="15" customHeight="1" outlineLevel="2" x14ac:dyDescent="0.25">
      <c r="A316" s="494"/>
      <c r="B316" s="1339"/>
      <c r="C316" s="334"/>
      <c r="D316" s="334"/>
      <c r="E316" s="334"/>
      <c r="F316" s="334"/>
      <c r="G316" s="350"/>
      <c r="H316" s="334"/>
      <c r="I316" s="334"/>
      <c r="J316" s="334"/>
      <c r="K316" s="299"/>
      <c r="L316" s="487"/>
    </row>
    <row r="317" spans="1:12" s="462" customFormat="1" ht="15" customHeight="1" outlineLevel="2" thickBot="1" x14ac:dyDescent="0.3">
      <c r="A317" s="494"/>
      <c r="B317" s="1340"/>
      <c r="C317" s="337"/>
      <c r="D317" s="337"/>
      <c r="E317" s="337"/>
      <c r="F317" s="337"/>
      <c r="G317" s="352"/>
      <c r="H317" s="337"/>
      <c r="I317" s="337"/>
      <c r="J317" s="337"/>
      <c r="K317" s="338"/>
      <c r="L317" s="487"/>
    </row>
    <row r="318" spans="1:12" s="462" customFormat="1" ht="15.75" outlineLevel="2" thickBot="1" x14ac:dyDescent="0.3">
      <c r="A318" s="494"/>
      <c r="B318" s="475"/>
      <c r="C318" s="559" t="s">
        <v>640</v>
      </c>
      <c r="D318" s="505">
        <f t="shared" ref="D318:K318" si="0">SUM(D312:D317)</f>
        <v>2230276.9339384539</v>
      </c>
      <c r="E318" s="505">
        <f t="shared" si="0"/>
        <v>2069309.3244890966</v>
      </c>
      <c r="F318" s="505">
        <f t="shared" si="0"/>
        <v>2190246.0097140968</v>
      </c>
      <c r="G318" s="505">
        <f t="shared" si="0"/>
        <v>2531141.5366580458</v>
      </c>
      <c r="H318" s="505">
        <f t="shared" si="0"/>
        <v>2634688.866409489</v>
      </c>
      <c r="I318" s="505">
        <f t="shared" si="0"/>
        <v>2466094.4039591681</v>
      </c>
      <c r="J318" s="505">
        <f t="shared" si="0"/>
        <v>2355955.3185201637</v>
      </c>
      <c r="K318" s="505">
        <f t="shared" si="0"/>
        <v>2272727.7042745147</v>
      </c>
      <c r="L318" s="487"/>
    </row>
    <row r="319" spans="1:12" s="462" customFormat="1" x14ac:dyDescent="0.25">
      <c r="L319" s="487"/>
    </row>
    <row r="320" spans="1:12" s="462" customFormat="1" x14ac:dyDescent="0.25">
      <c r="L320" s="487"/>
    </row>
    <row r="321" spans="3:9" s="401" customFormat="1" x14ac:dyDescent="0.25">
      <c r="C321" s="521"/>
      <c r="I321" s="1294"/>
    </row>
  </sheetData>
  <mergeCells count="12">
    <mergeCell ref="C309:K309"/>
    <mergeCell ref="C310:K310"/>
    <mergeCell ref="C29:K29"/>
    <mergeCell ref="C9:K9"/>
    <mergeCell ref="C10:K10"/>
    <mergeCell ref="C17:K17"/>
    <mergeCell ref="C18:K18"/>
    <mergeCell ref="C28:K28"/>
    <mergeCell ref="C121:K121"/>
    <mergeCell ref="C122:K122"/>
    <mergeCell ref="C214:K214"/>
    <mergeCell ref="C215:K215"/>
  </mergeCells>
  <pageMargins left="0.7" right="0.7" top="0.75" bottom="0.75" header="0.3" footer="0.3"/>
  <pageSetup paperSize="0" orientation="portrait" horizontalDpi="0" verticalDpi="0" copies="0" r:id="rId1"/>
  <customProperties>
    <customPr name="_pios_id" r:id="rId2"/>
    <customPr name="EpmWorksheetKeyString_GUID" r:id="rId3"/>
  </customProperties>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249977111117893"/>
  </sheetPr>
  <dimension ref="A1:L35"/>
  <sheetViews>
    <sheetView showGridLines="0" zoomScale="80" zoomScaleNormal="80" workbookViewId="0">
      <selection activeCell="A2" sqref="A2"/>
    </sheetView>
  </sheetViews>
  <sheetFormatPr defaultColWidth="9.140625" defaultRowHeight="15" x14ac:dyDescent="0.25"/>
  <cols>
    <col min="1" max="1" width="22.7109375" style="487" customWidth="1"/>
    <col min="2" max="2" width="52" style="487" customWidth="1"/>
    <col min="3" max="3" width="16.28515625" style="521" customWidth="1"/>
    <col min="4" max="9" width="20.7109375" style="487" customWidth="1"/>
    <col min="10" max="10" width="20.7109375" style="1294" customWidth="1"/>
    <col min="11" max="12" width="20.7109375" style="487" customWidth="1"/>
    <col min="13" max="16384" width="9.140625" style="487"/>
  </cols>
  <sheetData>
    <row r="1" spans="1:12" ht="30" customHeight="1" x14ac:dyDescent="0.25">
      <c r="B1" s="103" t="str">
        <f>IF(dms_MultiYear_ResponseFlag="Yes","REGULATORY REPORTING STATEMENT - HISTORICAL INFORMATION",INDEX(dms_Worksheet_List,MATCH(dms_Model,dms_Model_List)))</f>
        <v>REGULATORY REPORTING STATEMENT - HISTORICAL INFORMATION</v>
      </c>
      <c r="C1" s="103"/>
      <c r="D1" s="76"/>
      <c r="E1" s="76"/>
      <c r="F1" s="76"/>
      <c r="G1" s="76"/>
      <c r="H1" s="76"/>
      <c r="I1" s="76"/>
      <c r="J1" s="76"/>
      <c r="K1" s="76"/>
      <c r="L1" s="76"/>
    </row>
    <row r="2" spans="1:12" ht="30" customHeight="1" x14ac:dyDescent="0.25">
      <c r="B2" s="103" t="str">
        <f>INDEX(dms_TradingNameFull_List,MATCH(dms_TradingName,dms_TradingName_List))</f>
        <v>AusNet Gas Services</v>
      </c>
      <c r="C2" s="103"/>
      <c r="D2" s="76"/>
      <c r="E2" s="76"/>
      <c r="F2" s="76"/>
      <c r="G2" s="76"/>
      <c r="H2" s="76"/>
      <c r="I2" s="76"/>
      <c r="J2" s="76"/>
      <c r="K2" s="76"/>
      <c r="L2" s="76"/>
    </row>
    <row r="3" spans="1:12" ht="30" customHeight="1" x14ac:dyDescent="0.25">
      <c r="B3" s="103" t="str">
        <f>CONCATENATE(CRY," to ",dms_MultiYear_FinalYear_Result)</f>
        <v>2011 to 2019</v>
      </c>
      <c r="C3" s="103"/>
      <c r="D3" s="76"/>
      <c r="E3" s="76"/>
      <c r="F3" s="76"/>
      <c r="G3" s="76"/>
      <c r="H3" s="76"/>
      <c r="I3" s="76"/>
      <c r="J3" s="76"/>
      <c r="K3" s="76"/>
      <c r="L3" s="76"/>
    </row>
    <row r="4" spans="1:12" ht="30" customHeight="1" x14ac:dyDescent="0.25">
      <c r="B4" s="83" t="s">
        <v>748</v>
      </c>
      <c r="C4" s="83"/>
      <c r="D4" s="323"/>
      <c r="E4" s="323"/>
      <c r="F4" s="323"/>
      <c r="G4" s="323"/>
      <c r="H4" s="323"/>
      <c r="I4" s="323"/>
      <c r="J4" s="323"/>
      <c r="K4" s="323"/>
      <c r="L4" s="323"/>
    </row>
    <row r="6" spans="1:12" ht="15.75" thickBot="1" x14ac:dyDescent="0.3"/>
    <row r="7" spans="1:12" s="519" customFormat="1" ht="26.25" customHeight="1" thickBot="1" x14ac:dyDescent="0.3">
      <c r="A7" s="518"/>
      <c r="B7" s="84" t="s">
        <v>823</v>
      </c>
      <c r="C7" s="84"/>
      <c r="D7" s="84"/>
      <c r="E7" s="84"/>
      <c r="F7" s="84"/>
      <c r="G7" s="84"/>
      <c r="H7" s="84"/>
      <c r="I7" s="84"/>
      <c r="J7" s="84"/>
      <c r="K7" s="84"/>
      <c r="L7" s="84"/>
    </row>
    <row r="8" spans="1:12" s="519" customFormat="1" x14ac:dyDescent="0.25">
      <c r="A8" s="514"/>
      <c r="B8" s="514"/>
      <c r="C8" s="521"/>
      <c r="D8" s="1675" t="s">
        <v>701</v>
      </c>
      <c r="E8" s="1677"/>
      <c r="F8" s="1677"/>
      <c r="G8" s="1677"/>
      <c r="H8" s="1677"/>
      <c r="I8" s="1677"/>
      <c r="J8" s="1677"/>
      <c r="K8" s="1677"/>
      <c r="L8" s="1678"/>
    </row>
    <row r="9" spans="1:12" s="519" customFormat="1" x14ac:dyDescent="0.25">
      <c r="A9" s="514"/>
      <c r="B9" s="553"/>
      <c r="C9" s="553"/>
      <c r="D9" s="1672" t="s">
        <v>181</v>
      </c>
      <c r="E9" s="1673"/>
      <c r="F9" s="1673"/>
      <c r="G9" s="1673"/>
      <c r="H9" s="1673"/>
      <c r="I9" s="1673"/>
      <c r="J9" s="1673"/>
      <c r="K9" s="1673"/>
      <c r="L9" s="1674"/>
    </row>
    <row r="10" spans="1:12" s="519" customFormat="1" ht="15.75" thickBot="1" x14ac:dyDescent="0.3">
      <c r="A10" s="514"/>
      <c r="B10" s="514"/>
      <c r="C10" s="631" t="s">
        <v>703</v>
      </c>
      <c r="D10" s="424">
        <f ca="1">dms_y1</f>
        <v>2011</v>
      </c>
      <c r="E10" s="425">
        <f ca="1">dms_y2</f>
        <v>2012</v>
      </c>
      <c r="F10" s="425">
        <f ca="1">dms_y3</f>
        <v>2013</v>
      </c>
      <c r="G10" s="425">
        <f ca="1">dms_y4</f>
        <v>2014</v>
      </c>
      <c r="H10" s="425">
        <f ca="1">dms_y5</f>
        <v>2015</v>
      </c>
      <c r="I10" s="426">
        <f ca="1">dms_y6</f>
        <v>2016</v>
      </c>
      <c r="J10" s="426">
        <f ca="1">dms_y7</f>
        <v>2017</v>
      </c>
      <c r="K10" s="426">
        <f ca="1">dms_y8</f>
        <v>2018</v>
      </c>
      <c r="L10" s="427">
        <f ca="1">dms_y9</f>
        <v>2019</v>
      </c>
    </row>
    <row r="11" spans="1:12" s="519" customFormat="1" ht="17.25" customHeight="1" thickBot="1" x14ac:dyDescent="0.3">
      <c r="A11" s="518"/>
      <c r="B11" s="624" t="s">
        <v>824</v>
      </c>
      <c r="C11" s="625"/>
      <c r="D11" s="312"/>
      <c r="E11" s="312"/>
      <c r="F11" s="312"/>
      <c r="G11" s="312"/>
      <c r="H11" s="312"/>
      <c r="I11" s="312"/>
      <c r="J11" s="312"/>
      <c r="K11" s="312"/>
      <c r="L11" s="313"/>
    </row>
    <row r="12" spans="1:12" s="516" customFormat="1" x14ac:dyDescent="0.25">
      <c r="A12" s="520"/>
      <c r="B12" s="581" t="s">
        <v>745</v>
      </c>
      <c r="C12" s="626" t="s">
        <v>188</v>
      </c>
      <c r="D12" s="1410">
        <v>829.32069000000001</v>
      </c>
      <c r="E12" s="1392">
        <v>901.49114000000009</v>
      </c>
      <c r="F12" s="1392">
        <v>928.53222000000005</v>
      </c>
      <c r="G12" s="1392">
        <v>916.47336000000007</v>
      </c>
      <c r="H12" s="1422">
        <v>303.29860000000002</v>
      </c>
      <c r="I12" s="1423">
        <v>557</v>
      </c>
      <c r="J12" s="1410">
        <v>483</v>
      </c>
      <c r="K12" s="1392">
        <v>480</v>
      </c>
      <c r="L12" s="1497">
        <v>515</v>
      </c>
    </row>
    <row r="13" spans="1:12" s="516" customFormat="1" x14ac:dyDescent="0.25">
      <c r="A13" s="520"/>
      <c r="B13" s="582" t="s">
        <v>746</v>
      </c>
      <c r="C13" s="627" t="s">
        <v>188</v>
      </c>
      <c r="D13" s="1507">
        <v>0</v>
      </c>
      <c r="E13" s="1508">
        <v>0</v>
      </c>
      <c r="F13" s="1508">
        <v>0</v>
      </c>
      <c r="G13" s="1508">
        <v>0</v>
      </c>
      <c r="H13" s="1509">
        <v>0</v>
      </c>
      <c r="I13" s="1510">
        <v>300</v>
      </c>
      <c r="J13" s="1507">
        <v>304</v>
      </c>
      <c r="K13" s="1508">
        <v>206</v>
      </c>
      <c r="L13" s="1511">
        <v>179</v>
      </c>
    </row>
    <row r="14" spans="1:12" s="516" customFormat="1" x14ac:dyDescent="0.25">
      <c r="A14" s="520"/>
      <c r="B14" s="582" t="s">
        <v>747</v>
      </c>
      <c r="C14" s="627" t="s">
        <v>188</v>
      </c>
      <c r="D14" s="1507">
        <v>829.32069000000001</v>
      </c>
      <c r="E14" s="1508">
        <v>901.49114000000009</v>
      </c>
      <c r="F14" s="1508">
        <v>928.53222000000005</v>
      </c>
      <c r="G14" s="1508">
        <v>916.47336000000007</v>
      </c>
      <c r="H14" s="1509">
        <v>303.29860000000002</v>
      </c>
      <c r="I14" s="1510">
        <v>857</v>
      </c>
      <c r="J14" s="1507">
        <v>787</v>
      </c>
      <c r="K14" s="1508">
        <v>686</v>
      </c>
      <c r="L14" s="1511">
        <v>694</v>
      </c>
    </row>
    <row r="15" spans="1:12" s="516" customFormat="1" ht="15.75" thickBot="1" x14ac:dyDescent="0.3">
      <c r="A15" s="520"/>
      <c r="B15" s="628" t="s">
        <v>780</v>
      </c>
      <c r="C15" s="629" t="s">
        <v>182</v>
      </c>
      <c r="D15" s="1512">
        <v>731</v>
      </c>
      <c r="E15" s="1513">
        <v>896</v>
      </c>
      <c r="F15" s="1513">
        <v>935</v>
      </c>
      <c r="G15" s="1513">
        <v>1061</v>
      </c>
      <c r="H15" s="1514">
        <v>869</v>
      </c>
      <c r="I15" s="1515">
        <v>834</v>
      </c>
      <c r="J15" s="1512">
        <v>1247</v>
      </c>
      <c r="K15" s="1513">
        <v>1587</v>
      </c>
      <c r="L15" s="1516">
        <v>1124</v>
      </c>
    </row>
    <row r="16" spans="1:12" s="522" customFormat="1" ht="20.25" customHeight="1" thickBot="1" x14ac:dyDescent="0.25">
      <c r="A16" s="520"/>
      <c r="B16" s="630" t="s">
        <v>825</v>
      </c>
      <c r="C16" s="86"/>
      <c r="D16" s="312"/>
      <c r="E16" s="312"/>
      <c r="F16" s="312"/>
      <c r="G16" s="312"/>
      <c r="H16" s="312"/>
      <c r="I16" s="312"/>
      <c r="J16" s="312"/>
      <c r="K16" s="312"/>
      <c r="L16" s="313"/>
    </row>
    <row r="17" spans="1:12" s="522" customFormat="1" x14ac:dyDescent="0.25">
      <c r="A17" s="520"/>
      <c r="B17" s="581" t="s">
        <v>745</v>
      </c>
      <c r="C17" s="626" t="s">
        <v>188</v>
      </c>
      <c r="D17" s="1410">
        <v>3709.67931</v>
      </c>
      <c r="E17" s="1392">
        <v>4032.5088599999999</v>
      </c>
      <c r="F17" s="1392">
        <v>4153.4677799999999</v>
      </c>
      <c r="G17" s="1392">
        <v>4099.52664</v>
      </c>
      <c r="H17" s="1422">
        <v>1356.7013999999999</v>
      </c>
      <c r="I17" s="1423">
        <v>3217</v>
      </c>
      <c r="J17" s="1410">
        <v>2980</v>
      </c>
      <c r="K17" s="1392">
        <v>3638</v>
      </c>
      <c r="L17" s="1497">
        <v>3341</v>
      </c>
    </row>
    <row r="18" spans="1:12" s="522" customFormat="1" x14ac:dyDescent="0.25">
      <c r="A18" s="520"/>
      <c r="B18" s="582" t="s">
        <v>746</v>
      </c>
      <c r="C18" s="627" t="s">
        <v>188</v>
      </c>
      <c r="D18" s="1507">
        <v>0</v>
      </c>
      <c r="E18" s="1508">
        <v>0</v>
      </c>
      <c r="F18" s="1508">
        <v>0</v>
      </c>
      <c r="G18" s="1508">
        <v>0</v>
      </c>
      <c r="H18" s="1509">
        <v>0</v>
      </c>
      <c r="I18" s="1510">
        <v>82</v>
      </c>
      <c r="J18" s="1507">
        <v>111</v>
      </c>
      <c r="K18" s="1508">
        <v>179</v>
      </c>
      <c r="L18" s="1511">
        <v>63</v>
      </c>
    </row>
    <row r="19" spans="1:12" s="522" customFormat="1" x14ac:dyDescent="0.25">
      <c r="A19" s="520"/>
      <c r="B19" s="582" t="s">
        <v>747</v>
      </c>
      <c r="C19" s="627" t="s">
        <v>188</v>
      </c>
      <c r="D19" s="1507">
        <v>3709.67931</v>
      </c>
      <c r="E19" s="1508">
        <v>4032.5088599999999</v>
      </c>
      <c r="F19" s="1508">
        <v>4153.4677799999999</v>
      </c>
      <c r="G19" s="1508">
        <v>4099.52664</v>
      </c>
      <c r="H19" s="1509">
        <v>1356.7013999999999</v>
      </c>
      <c r="I19" s="1510">
        <v>3299</v>
      </c>
      <c r="J19" s="1507">
        <v>3091</v>
      </c>
      <c r="K19" s="1508">
        <v>3817</v>
      </c>
      <c r="L19" s="1511">
        <v>3404</v>
      </c>
    </row>
    <row r="20" spans="1:12" s="522" customFormat="1" ht="15.75" thickBot="1" x14ac:dyDescent="0.3">
      <c r="A20" s="520"/>
      <c r="B20" s="628" t="s">
        <v>786</v>
      </c>
      <c r="C20" s="629" t="s">
        <v>188</v>
      </c>
      <c r="D20" s="1512">
        <v>0</v>
      </c>
      <c r="E20" s="1513">
        <v>0</v>
      </c>
      <c r="F20" s="1513">
        <v>0</v>
      </c>
      <c r="G20" s="1513">
        <v>0</v>
      </c>
      <c r="H20" s="1514">
        <v>0</v>
      </c>
      <c r="I20" s="1515">
        <v>0</v>
      </c>
      <c r="J20" s="1512">
        <v>0</v>
      </c>
      <c r="K20" s="1513">
        <v>0</v>
      </c>
      <c r="L20" s="1516">
        <v>0</v>
      </c>
    </row>
    <row r="21" spans="1:12" s="516" customFormat="1" ht="20.25" customHeight="1" thickBot="1" x14ac:dyDescent="0.25">
      <c r="A21" s="520"/>
      <c r="B21" s="630" t="s">
        <v>826</v>
      </c>
      <c r="C21" s="86"/>
      <c r="D21" s="312"/>
      <c r="E21" s="312"/>
      <c r="F21" s="312"/>
      <c r="G21" s="312"/>
      <c r="H21" s="312"/>
      <c r="I21" s="312"/>
      <c r="J21" s="312"/>
      <c r="K21" s="312"/>
      <c r="L21" s="313"/>
    </row>
    <row r="22" spans="1:12" s="516" customFormat="1" x14ac:dyDescent="0.25">
      <c r="A22" s="520"/>
      <c r="B22" s="581" t="s">
        <v>745</v>
      </c>
      <c r="C22" s="626" t="s">
        <v>188</v>
      </c>
      <c r="D22" s="1410">
        <v>4</v>
      </c>
      <c r="E22" s="1392">
        <v>49</v>
      </c>
      <c r="F22" s="1392">
        <v>11341</v>
      </c>
      <c r="G22" s="1392">
        <v>15857</v>
      </c>
      <c r="H22" s="1422">
        <v>13077</v>
      </c>
      <c r="I22" s="1423">
        <v>11346</v>
      </c>
      <c r="J22" s="1410">
        <v>11523</v>
      </c>
      <c r="K22" s="1392">
        <v>11902</v>
      </c>
      <c r="L22" s="1497">
        <v>10658</v>
      </c>
    </row>
    <row r="23" spans="1:12" s="516" customFormat="1" x14ac:dyDescent="0.25">
      <c r="A23" s="520"/>
      <c r="B23" s="582" t="s">
        <v>746</v>
      </c>
      <c r="C23" s="627" t="s">
        <v>188</v>
      </c>
      <c r="D23" s="1507">
        <v>0</v>
      </c>
      <c r="E23" s="1508">
        <v>0</v>
      </c>
      <c r="F23" s="1508">
        <v>0</v>
      </c>
      <c r="G23" s="1508">
        <v>0</v>
      </c>
      <c r="H23" s="1509">
        <v>0</v>
      </c>
      <c r="I23" s="1510">
        <v>0</v>
      </c>
      <c r="J23" s="1507">
        <v>0</v>
      </c>
      <c r="K23" s="1508">
        <v>0</v>
      </c>
      <c r="L23" s="1511">
        <v>0</v>
      </c>
    </row>
    <row r="24" spans="1:12" s="516" customFormat="1" x14ac:dyDescent="0.25">
      <c r="A24" s="520"/>
      <c r="B24" s="582" t="s">
        <v>747</v>
      </c>
      <c r="C24" s="627" t="s">
        <v>188</v>
      </c>
      <c r="D24" s="1507">
        <v>4</v>
      </c>
      <c r="E24" s="1508">
        <v>49</v>
      </c>
      <c r="F24" s="1508">
        <v>11341</v>
      </c>
      <c r="G24" s="1508">
        <v>15857</v>
      </c>
      <c r="H24" s="1509">
        <v>13077</v>
      </c>
      <c r="I24" s="1510">
        <v>11346</v>
      </c>
      <c r="J24" s="1507">
        <v>11523</v>
      </c>
      <c r="K24" s="1508">
        <v>11902</v>
      </c>
      <c r="L24" s="1511">
        <v>10658</v>
      </c>
    </row>
    <row r="25" spans="1:12" s="516" customFormat="1" ht="15.75" thickBot="1" x14ac:dyDescent="0.3">
      <c r="A25" s="520"/>
      <c r="B25" s="628" t="s">
        <v>785</v>
      </c>
      <c r="C25" s="629" t="s">
        <v>188</v>
      </c>
      <c r="D25" s="1512">
        <v>0</v>
      </c>
      <c r="E25" s="1513">
        <v>0</v>
      </c>
      <c r="F25" s="1513">
        <v>0</v>
      </c>
      <c r="G25" s="1513">
        <v>0</v>
      </c>
      <c r="H25" s="1514">
        <v>0</v>
      </c>
      <c r="I25" s="1515">
        <v>0</v>
      </c>
      <c r="J25" s="1512">
        <v>0</v>
      </c>
      <c r="K25" s="1513">
        <v>0</v>
      </c>
      <c r="L25" s="1516">
        <v>0</v>
      </c>
    </row>
    <row r="26" spans="1:12" s="516" customFormat="1" ht="12.75" x14ac:dyDescent="0.2">
      <c r="A26" s="520"/>
      <c r="C26" s="522"/>
      <c r="J26" s="522"/>
    </row>
    <row r="27" spans="1:12" s="516" customFormat="1" ht="12.75" x14ac:dyDescent="0.2">
      <c r="A27" s="520"/>
      <c r="C27" s="522"/>
      <c r="J27" s="522"/>
    </row>
    <row r="28" spans="1:12" s="516" customFormat="1" ht="13.5" thickBot="1" x14ac:dyDescent="0.25">
      <c r="A28" s="520"/>
      <c r="C28" s="522"/>
      <c r="J28" s="522"/>
    </row>
    <row r="29" spans="1:12" s="516" customFormat="1" ht="27" customHeight="1" thickBot="1" x14ac:dyDescent="0.25">
      <c r="B29" s="84" t="s">
        <v>827</v>
      </c>
      <c r="C29" s="84"/>
      <c r="D29" s="84"/>
      <c r="E29" s="84"/>
      <c r="F29" s="84"/>
      <c r="G29" s="84"/>
      <c r="H29" s="84"/>
      <c r="I29" s="84"/>
      <c r="J29" s="84"/>
      <c r="K29" s="84"/>
      <c r="L29" s="84"/>
    </row>
    <row r="30" spans="1:12" s="516" customFormat="1" x14ac:dyDescent="0.25">
      <c r="A30"/>
      <c r="B30"/>
      <c r="C30"/>
      <c r="D30" s="1675" t="s">
        <v>701</v>
      </c>
      <c r="E30" s="1677"/>
      <c r="F30" s="1677"/>
      <c r="G30" s="1677"/>
      <c r="H30" s="1677"/>
      <c r="I30" s="1677"/>
      <c r="J30" s="1677"/>
      <c r="K30" s="1677"/>
      <c r="L30" s="1678"/>
    </row>
    <row r="31" spans="1:12" s="516" customFormat="1" x14ac:dyDescent="0.25">
      <c r="A31"/>
      <c r="B31"/>
      <c r="C31"/>
      <c r="D31" s="1672" t="s">
        <v>181</v>
      </c>
      <c r="E31" s="1673"/>
      <c r="F31" s="1673"/>
      <c r="G31" s="1673"/>
      <c r="H31" s="1673"/>
      <c r="I31" s="1673"/>
      <c r="J31" s="1673"/>
      <c r="K31" s="1673"/>
      <c r="L31" s="1674"/>
    </row>
    <row r="32" spans="1:12" s="516" customFormat="1" ht="15.75" thickBot="1" x14ac:dyDescent="0.3">
      <c r="A32"/>
      <c r="B32" s="315"/>
      <c r="C32" s="631" t="s">
        <v>703</v>
      </c>
      <c r="D32" s="424">
        <f ca="1">dms_y1</f>
        <v>2011</v>
      </c>
      <c r="E32" s="425">
        <f ca="1">dms_y2</f>
        <v>2012</v>
      </c>
      <c r="F32" s="425">
        <f ca="1">dms_y3</f>
        <v>2013</v>
      </c>
      <c r="G32" s="425">
        <f ca="1">dms_y4</f>
        <v>2014</v>
      </c>
      <c r="H32" s="425">
        <f ca="1">dms_y5</f>
        <v>2015</v>
      </c>
      <c r="I32" s="426">
        <f ca="1">dms_y6</f>
        <v>2016</v>
      </c>
      <c r="J32" s="426">
        <f ca="1">dms_y7</f>
        <v>2017</v>
      </c>
      <c r="K32" s="426">
        <f ca="1">dms_y8</f>
        <v>2018</v>
      </c>
      <c r="L32" s="427">
        <f ca="1">dms_y9</f>
        <v>2019</v>
      </c>
    </row>
    <row r="33" spans="2:12" s="1287" customFormat="1" x14ac:dyDescent="0.25">
      <c r="B33" s="581" t="s">
        <v>699</v>
      </c>
      <c r="C33" s="626" t="s">
        <v>188</v>
      </c>
      <c r="D33" s="1517">
        <v>49.520474999999941</v>
      </c>
      <c r="E33" s="1517">
        <v>51.340124999999937</v>
      </c>
      <c r="F33" s="1517">
        <v>49.910399999999939</v>
      </c>
      <c r="G33" s="1517">
        <v>56.625774999999933</v>
      </c>
      <c r="H33" s="1517">
        <v>19.712874999999976</v>
      </c>
      <c r="I33" s="1498">
        <v>40</v>
      </c>
      <c r="J33" s="1395">
        <v>52</v>
      </c>
      <c r="K33" s="1393">
        <v>61</v>
      </c>
      <c r="L33" s="1398">
        <v>48</v>
      </c>
    </row>
    <row r="34" spans="2:12" customFormat="1" x14ac:dyDescent="0.25">
      <c r="B34" s="582" t="s">
        <v>700</v>
      </c>
      <c r="C34" s="627" t="s">
        <v>188</v>
      </c>
      <c r="D34" s="1509">
        <v>1093.479525</v>
      </c>
      <c r="E34" s="1509">
        <v>1133.6598750000001</v>
      </c>
      <c r="F34" s="1509">
        <v>1102.0896</v>
      </c>
      <c r="G34" s="1509">
        <v>1250.374225</v>
      </c>
      <c r="H34" s="1509">
        <v>435.287125</v>
      </c>
      <c r="I34" s="1510">
        <v>1042</v>
      </c>
      <c r="J34" s="1507">
        <v>972</v>
      </c>
      <c r="K34" s="1508">
        <v>1243</v>
      </c>
      <c r="L34" s="1511">
        <v>1190</v>
      </c>
    </row>
    <row r="35" spans="2:12" customFormat="1" ht="15.75" thickBot="1" x14ac:dyDescent="0.3">
      <c r="B35" s="628" t="s">
        <v>704</v>
      </c>
      <c r="C35" s="629" t="s">
        <v>188</v>
      </c>
      <c r="D35" s="1512">
        <v>0</v>
      </c>
      <c r="E35" s="1513">
        <v>0</v>
      </c>
      <c r="F35" s="1513">
        <v>4</v>
      </c>
      <c r="G35" s="1513">
        <v>14</v>
      </c>
      <c r="H35" s="1514">
        <v>10</v>
      </c>
      <c r="I35" s="1515">
        <v>6</v>
      </c>
      <c r="J35" s="1512">
        <v>13</v>
      </c>
      <c r="K35" s="1513">
        <v>17</v>
      </c>
      <c r="L35" s="1516">
        <v>12</v>
      </c>
    </row>
  </sheetData>
  <mergeCells count="4">
    <mergeCell ref="D8:L8"/>
    <mergeCell ref="D9:L9"/>
    <mergeCell ref="D30:L30"/>
    <mergeCell ref="D31:L31"/>
  </mergeCells>
  <pageMargins left="0.7" right="0.7" top="0.75" bottom="0.75" header="0.3" footer="0.3"/>
  <pageSetup paperSize="9" orientation="portrait" r:id="rId1"/>
  <customProperties>
    <customPr name="_pios_id" r:id="rId2"/>
    <customPr name="EpmWorksheetKeyString_GUID" r:id="rId3"/>
  </customProperties>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sheetPr>
  <dimension ref="A1:K87"/>
  <sheetViews>
    <sheetView showGridLines="0" topLeftCell="A4" zoomScale="75" zoomScaleNormal="75" workbookViewId="0">
      <pane xSplit="2" ySplit="6" topLeftCell="C61" activePane="bottomRight" state="frozen"/>
      <selection activeCell="A2" sqref="A2"/>
      <selection pane="topRight" activeCell="A2" sqref="A2"/>
      <selection pane="bottomLeft" activeCell="A2" sqref="A2"/>
      <selection pane="bottomRight" activeCell="A2" sqref="A2"/>
    </sheetView>
  </sheetViews>
  <sheetFormatPr defaultColWidth="9.140625" defaultRowHeight="15" outlineLevelRow="2" x14ac:dyDescent="0.25"/>
  <cols>
    <col min="1" max="1" width="22.7109375" customWidth="1"/>
    <col min="2" max="2" width="56.28515625" customWidth="1"/>
    <col min="3" max="8" width="19.28515625" customWidth="1"/>
    <col min="9" max="9" width="19.28515625" style="1294" customWidth="1"/>
    <col min="10" max="11" width="19.28515625" customWidth="1"/>
    <col min="12" max="24" width="20.7109375" customWidth="1"/>
  </cols>
  <sheetData>
    <row r="1" spans="1:11" s="345" customFormat="1" ht="30" customHeight="1" x14ac:dyDescent="0.25">
      <c r="B1" s="103" t="str">
        <f>IF(dms_MultiYear_ResponseFlag="Yes","REGULATORY REPORTING STATEMENT - HISTORICAL INFORMATION",INDEX(dms_Worksheet_List,MATCH(dms_Model,dms_Model_List)))</f>
        <v>REGULATORY REPORTING STATEMENT - HISTORICAL INFORMATION</v>
      </c>
      <c r="C1" s="76"/>
      <c r="D1" s="76"/>
      <c r="E1" s="76"/>
      <c r="F1" s="76"/>
      <c r="G1" s="76"/>
      <c r="H1" s="76"/>
      <c r="I1" s="76"/>
      <c r="J1" s="76"/>
      <c r="K1" s="76"/>
    </row>
    <row r="2" spans="1:11" s="345" customFormat="1" ht="30" customHeight="1" x14ac:dyDescent="0.25">
      <c r="B2" s="103" t="str">
        <f>INDEX(dms_TradingNameFull_List,MATCH(dms_TradingName,dms_TradingName_List))</f>
        <v>AusNet Gas Services</v>
      </c>
      <c r="C2" s="76"/>
      <c r="D2" s="76"/>
      <c r="E2" s="76"/>
      <c r="F2" s="76"/>
      <c r="G2" s="76"/>
      <c r="H2" s="76"/>
      <c r="I2" s="76"/>
      <c r="J2" s="76"/>
      <c r="K2" s="76"/>
    </row>
    <row r="3" spans="1:11" s="345" customFormat="1" ht="30" customHeight="1" x14ac:dyDescent="0.25">
      <c r="B3" s="103" t="str">
        <f>CONCATENATE(CRY," to ",dms_MultiYear_FinalYear_Result)</f>
        <v>2011 to 2019</v>
      </c>
      <c r="C3" s="76"/>
      <c r="D3" s="76"/>
      <c r="E3" s="76"/>
      <c r="F3" s="76"/>
      <c r="G3" s="76"/>
      <c r="H3" s="76"/>
      <c r="I3" s="76"/>
      <c r="J3" s="76"/>
      <c r="K3" s="76"/>
    </row>
    <row r="4" spans="1:11" s="345" customFormat="1" ht="30" customHeight="1" x14ac:dyDescent="0.25">
      <c r="B4" s="83" t="s">
        <v>660</v>
      </c>
      <c r="C4" s="323"/>
      <c r="D4" s="323"/>
      <c r="E4" s="323"/>
      <c r="F4" s="323"/>
      <c r="G4" s="323"/>
      <c r="H4" s="323"/>
      <c r="I4" s="323"/>
      <c r="J4" s="323"/>
      <c r="K4" s="323"/>
    </row>
    <row r="5" spans="1:11" s="345" customFormat="1" x14ac:dyDescent="0.25">
      <c r="I5" s="1294"/>
    </row>
    <row r="6" spans="1:11" ht="15.75" thickBot="1" x14ac:dyDescent="0.3"/>
    <row r="7" spans="1:11" s="325" customFormat="1" ht="25.5" customHeight="1" thickBot="1" x14ac:dyDescent="0.3">
      <c r="A7" s="324"/>
      <c r="B7" s="84" t="s">
        <v>828</v>
      </c>
      <c r="C7" s="84"/>
      <c r="D7" s="84"/>
      <c r="E7" s="84"/>
      <c r="F7" s="84"/>
      <c r="G7" s="84"/>
      <c r="H7" s="84"/>
      <c r="I7" s="84"/>
      <c r="J7" s="84"/>
      <c r="K7" s="84"/>
    </row>
    <row r="8" spans="1:11" s="322" customFormat="1" ht="25.5" customHeight="1" outlineLevel="1" x14ac:dyDescent="0.25">
      <c r="C8" s="1659" t="s">
        <v>638</v>
      </c>
      <c r="D8" s="1659"/>
      <c r="E8" s="1659"/>
      <c r="F8" s="1659"/>
      <c r="G8" s="1659"/>
      <c r="H8" s="1659"/>
      <c r="I8" s="1659"/>
      <c r="J8" s="1659"/>
      <c r="K8" s="1660"/>
    </row>
    <row r="9" spans="1:11" s="322" customFormat="1" ht="25.5" customHeight="1" outlineLevel="1" thickBot="1" x14ac:dyDescent="0.3">
      <c r="C9" s="444">
        <f ca="1">dms_y1</f>
        <v>2011</v>
      </c>
      <c r="D9" s="445">
        <f ca="1">dms_y2</f>
        <v>2012</v>
      </c>
      <c r="E9" s="445">
        <f ca="1">dms_y3</f>
        <v>2013</v>
      </c>
      <c r="F9" s="445">
        <f ca="1">dms_y4</f>
        <v>2014</v>
      </c>
      <c r="G9" s="445">
        <f ca="1">dms_y5</f>
        <v>2015</v>
      </c>
      <c r="H9" s="1318">
        <f ca="1">dms_y6</f>
        <v>2016</v>
      </c>
      <c r="I9" s="1318">
        <f ca="1">dms_y7</f>
        <v>2017</v>
      </c>
      <c r="J9" s="1318">
        <f ca="1">dms_y8</f>
        <v>2018</v>
      </c>
      <c r="K9" s="1318">
        <f ca="1">dms_y9</f>
        <v>2019</v>
      </c>
    </row>
    <row r="10" spans="1:11" s="325" customFormat="1" ht="21" customHeight="1" outlineLevel="1" thickBot="1" x14ac:dyDescent="0.3">
      <c r="A10" s="326"/>
      <c r="B10" s="634" t="s">
        <v>836</v>
      </c>
      <c r="C10" s="309"/>
      <c r="D10" s="309"/>
      <c r="E10" s="309"/>
      <c r="F10" s="309"/>
      <c r="G10" s="309"/>
      <c r="H10" s="309"/>
      <c r="I10" s="309"/>
      <c r="J10" s="309"/>
      <c r="K10" s="310"/>
    </row>
    <row r="11" spans="1:11" s="325" customFormat="1" outlineLevel="2" x14ac:dyDescent="0.25">
      <c r="A11" s="327"/>
      <c r="B11" s="328" t="s">
        <v>645</v>
      </c>
      <c r="C11" s="1470"/>
      <c r="D11" s="1471"/>
      <c r="E11" s="1471"/>
      <c r="F11" s="1471"/>
      <c r="G11" s="1471"/>
      <c r="H11" s="1471"/>
      <c r="I11" s="1471"/>
      <c r="J11" s="1471"/>
      <c r="K11" s="1472"/>
    </row>
    <row r="12" spans="1:11" s="325" customFormat="1" outlineLevel="2" x14ac:dyDescent="0.25">
      <c r="A12" s="327"/>
      <c r="B12" s="332" t="s">
        <v>646</v>
      </c>
      <c r="C12" s="1473"/>
      <c r="D12" s="1474"/>
      <c r="E12" s="1474"/>
      <c r="F12" s="1474"/>
      <c r="G12" s="1474"/>
      <c r="H12" s="1474"/>
      <c r="I12" s="1474"/>
      <c r="J12" s="1474"/>
      <c r="K12" s="1475"/>
    </row>
    <row r="13" spans="1:11" s="325" customFormat="1" outlineLevel="2" x14ac:dyDescent="0.25">
      <c r="A13" s="327"/>
      <c r="B13" s="332" t="s">
        <v>647</v>
      </c>
      <c r="C13" s="1473"/>
      <c r="D13" s="1474"/>
      <c r="E13" s="1474"/>
      <c r="F13" s="1474"/>
      <c r="G13" s="1474"/>
      <c r="H13" s="1474"/>
      <c r="I13" s="1474"/>
      <c r="J13" s="1474"/>
      <c r="K13" s="1475"/>
    </row>
    <row r="14" spans="1:11" s="325" customFormat="1" ht="15.75" outlineLevel="2" thickBot="1" x14ac:dyDescent="0.3">
      <c r="A14" s="327"/>
      <c r="B14" s="335" t="s">
        <v>883</v>
      </c>
      <c r="C14" s="1476"/>
      <c r="D14" s="1477"/>
      <c r="E14" s="1477"/>
      <c r="F14" s="1477"/>
      <c r="G14" s="1477"/>
      <c r="H14" s="1477"/>
      <c r="I14" s="1477"/>
      <c r="J14" s="1477"/>
      <c r="K14" s="1478"/>
    </row>
    <row r="15" spans="1:11" s="325" customFormat="1" ht="18" customHeight="1" outlineLevel="2" thickBot="1" x14ac:dyDescent="0.3">
      <c r="A15" s="339"/>
      <c r="B15" s="340" t="s">
        <v>649</v>
      </c>
      <c r="C15" s="1479">
        <f>SUM(C11:C14)</f>
        <v>0</v>
      </c>
      <c r="D15" s="1479">
        <f t="shared" ref="D15:K15" si="0">SUM(D11:D14)</f>
        <v>0</v>
      </c>
      <c r="E15" s="1479">
        <f t="shared" si="0"/>
        <v>0</v>
      </c>
      <c r="F15" s="1479">
        <f t="shared" si="0"/>
        <v>0</v>
      </c>
      <c r="G15" s="1479">
        <f t="shared" si="0"/>
        <v>0</v>
      </c>
      <c r="H15" s="1479">
        <f t="shared" si="0"/>
        <v>0</v>
      </c>
      <c r="I15" s="1479">
        <f t="shared" ref="I15:J15" si="1">SUM(I11:I14)</f>
        <v>0</v>
      </c>
      <c r="J15" s="1479">
        <f t="shared" si="1"/>
        <v>0</v>
      </c>
      <c r="K15" s="1479">
        <f t="shared" si="0"/>
        <v>0</v>
      </c>
    </row>
    <row r="16" spans="1:11" s="322" customFormat="1" ht="15.75" outlineLevel="1" thickBot="1" x14ac:dyDescent="0.3">
      <c r="I16" s="1294"/>
      <c r="J16" s="1294"/>
    </row>
    <row r="17" spans="1:11" s="325" customFormat="1" ht="21" customHeight="1" outlineLevel="1" thickBot="1" x14ac:dyDescent="0.3">
      <c r="A17" s="326"/>
      <c r="B17" s="634" t="s">
        <v>837</v>
      </c>
      <c r="C17" s="309"/>
      <c r="D17" s="309"/>
      <c r="E17" s="309"/>
      <c r="F17" s="309"/>
      <c r="G17" s="309"/>
      <c r="H17" s="309"/>
      <c r="I17" s="309"/>
      <c r="J17" s="309"/>
      <c r="K17" s="310"/>
    </row>
    <row r="18" spans="1:11" s="325" customFormat="1" outlineLevel="2" x14ac:dyDescent="0.25">
      <c r="A18" s="327"/>
      <c r="B18" s="332" t="s">
        <v>1231</v>
      </c>
      <c r="C18" s="1473"/>
      <c r="D18" s="1474"/>
      <c r="E18" s="1474"/>
      <c r="F18" s="1474"/>
      <c r="G18" s="1474"/>
      <c r="H18" s="1474"/>
      <c r="I18" s="1474"/>
      <c r="J18" s="1474"/>
      <c r="K18" s="1475"/>
    </row>
    <row r="19" spans="1:11" s="322" customFormat="1" outlineLevel="2" x14ac:dyDescent="0.25">
      <c r="B19" s="332" t="s">
        <v>650</v>
      </c>
      <c r="C19" s="1473"/>
      <c r="D19" s="1474"/>
      <c r="E19" s="1474"/>
      <c r="F19" s="1474"/>
      <c r="G19" s="1474"/>
      <c r="H19" s="1474"/>
      <c r="I19" s="1474"/>
      <c r="J19" s="1474"/>
      <c r="K19" s="1475"/>
    </row>
    <row r="20" spans="1:11" s="322" customFormat="1" outlineLevel="2" x14ac:dyDescent="0.25">
      <c r="B20" s="332" t="s">
        <v>651</v>
      </c>
      <c r="C20" s="1473"/>
      <c r="D20" s="1474"/>
      <c r="E20" s="1474"/>
      <c r="F20" s="1474"/>
      <c r="G20" s="1474"/>
      <c r="H20" s="1474"/>
      <c r="I20" s="1474"/>
      <c r="J20" s="1474"/>
      <c r="K20" s="1475"/>
    </row>
    <row r="21" spans="1:11" s="325" customFormat="1" outlineLevel="2" x14ac:dyDescent="0.25">
      <c r="A21" s="327"/>
      <c r="B21" s="332" t="s">
        <v>652</v>
      </c>
      <c r="C21" s="1473"/>
      <c r="D21" s="1474"/>
      <c r="E21" s="1474"/>
      <c r="F21" s="1474"/>
      <c r="G21" s="1474"/>
      <c r="H21" s="1474"/>
      <c r="I21" s="1474"/>
      <c r="J21" s="1474"/>
      <c r="K21" s="1475"/>
    </row>
    <row r="22" spans="1:11" s="325" customFormat="1" outlineLevel="2" x14ac:dyDescent="0.25">
      <c r="A22" s="327"/>
      <c r="B22" s="332" t="s">
        <v>653</v>
      </c>
      <c r="C22" s="1473"/>
      <c r="D22" s="1474"/>
      <c r="E22" s="1474"/>
      <c r="F22" s="1474"/>
      <c r="G22" s="1474"/>
      <c r="H22" s="1474"/>
      <c r="I22" s="1474"/>
      <c r="J22" s="1474"/>
      <c r="K22" s="1475"/>
    </row>
    <row r="23" spans="1:11" s="325" customFormat="1" outlineLevel="2" x14ac:dyDescent="0.25">
      <c r="A23" s="327"/>
      <c r="B23" s="1350" t="s">
        <v>1219</v>
      </c>
      <c r="C23" s="1473"/>
      <c r="D23" s="1474"/>
      <c r="E23" s="1480"/>
      <c r="F23" s="1480"/>
      <c r="G23" s="1480"/>
      <c r="H23" s="1480"/>
      <c r="I23" s="1480"/>
      <c r="J23" s="1480"/>
      <c r="K23" s="1481"/>
    </row>
    <row r="24" spans="1:11" s="325" customFormat="1" ht="15.75" outlineLevel="2" thickBot="1" x14ac:dyDescent="0.3">
      <c r="A24" s="327"/>
      <c r="B24" s="335" t="s">
        <v>654</v>
      </c>
      <c r="C24" s="1473"/>
      <c r="D24" s="1474"/>
      <c r="E24" s="1474"/>
      <c r="F24" s="1474"/>
      <c r="G24" s="1474"/>
      <c r="H24" s="1474"/>
      <c r="I24" s="1474"/>
      <c r="J24" s="1474"/>
      <c r="K24" s="1475"/>
    </row>
    <row r="25" spans="1:11" s="325" customFormat="1" ht="18" customHeight="1" outlineLevel="2" thickBot="1" x14ac:dyDescent="0.3">
      <c r="A25" s="339"/>
      <c r="B25" s="391" t="s">
        <v>655</v>
      </c>
      <c r="C25" s="1448">
        <f t="shared" ref="C25:K25" si="2">SUM(C18:C24)</f>
        <v>0</v>
      </c>
      <c r="D25" s="1448">
        <f t="shared" si="2"/>
        <v>0</v>
      </c>
      <c r="E25" s="1448">
        <f t="shared" si="2"/>
        <v>0</v>
      </c>
      <c r="F25" s="1448">
        <f t="shared" si="2"/>
        <v>0</v>
      </c>
      <c r="G25" s="1448">
        <f t="shared" si="2"/>
        <v>0</v>
      </c>
      <c r="H25" s="1448">
        <f t="shared" si="2"/>
        <v>0</v>
      </c>
      <c r="I25" s="1448">
        <f t="shared" si="2"/>
        <v>0</v>
      </c>
      <c r="J25" s="1448">
        <f t="shared" si="2"/>
        <v>0</v>
      </c>
      <c r="K25" s="1482">
        <f t="shared" si="2"/>
        <v>0</v>
      </c>
    </row>
    <row r="26" spans="1:11" s="322" customFormat="1" ht="15.75" outlineLevel="1" thickBot="1" x14ac:dyDescent="0.3">
      <c r="I26" s="1294"/>
      <c r="J26" s="1294"/>
    </row>
    <row r="27" spans="1:11" s="325" customFormat="1" ht="21" customHeight="1" outlineLevel="1" thickBot="1" x14ac:dyDescent="0.3">
      <c r="A27" s="326"/>
      <c r="B27" s="635" t="s">
        <v>838</v>
      </c>
      <c r="C27" s="423"/>
      <c r="D27" s="423"/>
      <c r="E27" s="423"/>
      <c r="F27" s="423"/>
      <c r="G27" s="423"/>
      <c r="H27" s="423"/>
      <c r="I27" s="423"/>
      <c r="J27" s="423"/>
      <c r="K27" s="451"/>
    </row>
    <row r="28" spans="1:11" s="325" customFormat="1" ht="24" customHeight="1" outlineLevel="2" x14ac:dyDescent="0.25">
      <c r="A28" s="339"/>
      <c r="B28" s="88" t="s">
        <v>656</v>
      </c>
      <c r="C28" s="1483">
        <f t="shared" ref="C28:K28" si="3">C15-C25</f>
        <v>0</v>
      </c>
      <c r="D28" s="1483">
        <f t="shared" si="3"/>
        <v>0</v>
      </c>
      <c r="E28" s="1483">
        <f t="shared" si="3"/>
        <v>0</v>
      </c>
      <c r="F28" s="1483">
        <f t="shared" si="3"/>
        <v>0</v>
      </c>
      <c r="G28" s="1483">
        <f t="shared" si="3"/>
        <v>0</v>
      </c>
      <c r="H28" s="1483">
        <f t="shared" si="3"/>
        <v>0</v>
      </c>
      <c r="I28" s="1483">
        <f t="shared" si="3"/>
        <v>0</v>
      </c>
      <c r="J28" s="1483">
        <f t="shared" si="3"/>
        <v>0</v>
      </c>
      <c r="K28" s="1484">
        <f t="shared" si="3"/>
        <v>0</v>
      </c>
    </row>
    <row r="29" spans="1:11" s="325" customFormat="1" ht="23.25" customHeight="1" outlineLevel="2" x14ac:dyDescent="0.25">
      <c r="A29" s="327"/>
      <c r="B29" s="582" t="s">
        <v>657</v>
      </c>
      <c r="C29" s="1474"/>
      <c r="D29" s="1474"/>
      <c r="E29" s="1474"/>
      <c r="F29" s="1474"/>
      <c r="G29" s="1474"/>
      <c r="H29" s="1474"/>
      <c r="I29" s="1474"/>
      <c r="J29" s="1474"/>
      <c r="K29" s="1481"/>
    </row>
    <row r="30" spans="1:11" s="325" customFormat="1" ht="23.25" customHeight="1" outlineLevel="2" thickBot="1" x14ac:dyDescent="0.3">
      <c r="A30" s="339"/>
      <c r="B30" s="623" t="s">
        <v>658</v>
      </c>
      <c r="C30" s="1485">
        <f>C28-C29</f>
        <v>0</v>
      </c>
      <c r="D30" s="1485">
        <f t="shared" ref="D30:K30" si="4">D28-D29</f>
        <v>0</v>
      </c>
      <c r="E30" s="1485">
        <f t="shared" si="4"/>
        <v>0</v>
      </c>
      <c r="F30" s="1485">
        <f t="shared" si="4"/>
        <v>0</v>
      </c>
      <c r="G30" s="1485">
        <f t="shared" si="4"/>
        <v>0</v>
      </c>
      <c r="H30" s="1485">
        <f t="shared" si="4"/>
        <v>0</v>
      </c>
      <c r="I30" s="1485">
        <f t="shared" ref="I30:J30" si="5">I28-I29</f>
        <v>0</v>
      </c>
      <c r="J30" s="1485">
        <f t="shared" si="5"/>
        <v>0</v>
      </c>
      <c r="K30" s="1486">
        <f t="shared" si="4"/>
        <v>0</v>
      </c>
    </row>
    <row r="31" spans="1:11" s="325" customFormat="1" ht="12.75" outlineLevel="1" x14ac:dyDescent="0.25">
      <c r="A31" s="339"/>
    </row>
    <row r="32" spans="1:11" s="325" customFormat="1" ht="12.75" x14ac:dyDescent="0.25">
      <c r="A32" s="339"/>
      <c r="B32" s="342"/>
      <c r="C32" s="342"/>
      <c r="D32" s="342"/>
      <c r="E32" s="342"/>
      <c r="F32" s="342"/>
      <c r="G32" s="342"/>
      <c r="H32" s="342"/>
      <c r="I32" s="342"/>
      <c r="J32" s="342"/>
      <c r="K32" s="342"/>
    </row>
    <row r="33" spans="1:11" s="325" customFormat="1" ht="13.5" thickBot="1" x14ac:dyDescent="0.3">
      <c r="B33" s="343"/>
      <c r="C33" s="343"/>
      <c r="D33" s="343"/>
      <c r="E33" s="343"/>
      <c r="F33" s="343"/>
      <c r="G33" s="343"/>
      <c r="H33" s="343"/>
      <c r="I33" s="343"/>
      <c r="J33" s="343"/>
      <c r="K33" s="343"/>
    </row>
    <row r="34" spans="1:11" s="325" customFormat="1" ht="25.5" customHeight="1" thickBot="1" x14ac:dyDescent="0.3">
      <c r="A34" s="324"/>
      <c r="B34" s="84" t="s">
        <v>829</v>
      </c>
      <c r="C34" s="84"/>
      <c r="D34" s="84"/>
      <c r="E34" s="84"/>
      <c r="F34" s="84"/>
      <c r="G34" s="84"/>
      <c r="H34" s="84"/>
      <c r="I34" s="84"/>
      <c r="J34" s="84"/>
      <c r="K34" s="84"/>
    </row>
    <row r="35" spans="1:11" s="322" customFormat="1" ht="25.5" customHeight="1" outlineLevel="1" x14ac:dyDescent="0.25">
      <c r="C35" s="1659" t="s">
        <v>638</v>
      </c>
      <c r="D35" s="1659"/>
      <c r="E35" s="1659"/>
      <c r="F35" s="1659"/>
      <c r="G35" s="1659"/>
      <c r="H35" s="1659"/>
      <c r="I35" s="1659"/>
      <c r="J35" s="1659"/>
      <c r="K35" s="1660"/>
    </row>
    <row r="36" spans="1:11" s="322" customFormat="1" ht="25.5" customHeight="1" outlineLevel="1" thickBot="1" x14ac:dyDescent="0.3">
      <c r="C36" s="444">
        <f ca="1">dms_y1</f>
        <v>2011</v>
      </c>
      <c r="D36" s="445">
        <f ca="1">dms_y2</f>
        <v>2012</v>
      </c>
      <c r="E36" s="445">
        <f ca="1">dms_y3</f>
        <v>2013</v>
      </c>
      <c r="F36" s="445">
        <f ca="1">dms_y4</f>
        <v>2014</v>
      </c>
      <c r="G36" s="445">
        <f ca="1">dms_y5</f>
        <v>2015</v>
      </c>
      <c r="H36" s="1318">
        <f ca="1">dms_y6</f>
        <v>2016</v>
      </c>
      <c r="I36" s="1318">
        <f ca="1">dms_y7</f>
        <v>2017</v>
      </c>
      <c r="J36" s="1318">
        <f ca="1">dms_y8</f>
        <v>2018</v>
      </c>
      <c r="K36" s="1318">
        <f ca="1">dms_y9</f>
        <v>2019</v>
      </c>
    </row>
    <row r="37" spans="1:11" s="325" customFormat="1" ht="21" customHeight="1" outlineLevel="1" thickBot="1" x14ac:dyDescent="0.3">
      <c r="A37" s="326"/>
      <c r="B37" s="634" t="s">
        <v>830</v>
      </c>
      <c r="C37" s="309"/>
      <c r="D37" s="309"/>
      <c r="E37" s="309"/>
      <c r="F37" s="309"/>
      <c r="G37" s="309"/>
      <c r="H37" s="309"/>
      <c r="I37" s="309"/>
      <c r="J37" s="309"/>
      <c r="K37" s="310"/>
    </row>
    <row r="38" spans="1:11" s="325" customFormat="1" outlineLevel="2" x14ac:dyDescent="0.25">
      <c r="A38" s="327"/>
      <c r="B38" s="328" t="s">
        <v>645</v>
      </c>
      <c r="C38" s="1470"/>
      <c r="D38" s="1471"/>
      <c r="E38" s="1471"/>
      <c r="F38" s="1471"/>
      <c r="G38" s="1471"/>
      <c r="H38" s="1471"/>
      <c r="I38" s="1471"/>
      <c r="J38" s="1471"/>
      <c r="K38" s="1481"/>
    </row>
    <row r="39" spans="1:11" s="325" customFormat="1" outlineLevel="2" x14ac:dyDescent="0.25">
      <c r="A39" s="327"/>
      <c r="B39" s="332" t="s">
        <v>646</v>
      </c>
      <c r="C39" s="1473"/>
      <c r="D39" s="1474"/>
      <c r="E39" s="1474"/>
      <c r="F39" s="1474"/>
      <c r="G39" s="1474"/>
      <c r="H39" s="1474"/>
      <c r="I39" s="1474"/>
      <c r="J39" s="1474"/>
      <c r="K39" s="1475"/>
    </row>
    <row r="40" spans="1:11" s="325" customFormat="1" outlineLevel="2" x14ac:dyDescent="0.25">
      <c r="A40" s="327"/>
      <c r="B40" s="332" t="s">
        <v>647</v>
      </c>
      <c r="C40" s="1473"/>
      <c r="D40" s="1474"/>
      <c r="E40" s="1474"/>
      <c r="F40" s="1474"/>
      <c r="G40" s="1474"/>
      <c r="H40" s="1474"/>
      <c r="I40" s="1474"/>
      <c r="J40" s="1474"/>
      <c r="K40" s="1475"/>
    </row>
    <row r="41" spans="1:11" s="325" customFormat="1" ht="15.75" outlineLevel="2" thickBot="1" x14ac:dyDescent="0.3">
      <c r="A41" s="327"/>
      <c r="B41" s="335" t="s">
        <v>648</v>
      </c>
      <c r="C41" s="1476"/>
      <c r="D41" s="1477"/>
      <c r="E41" s="1477"/>
      <c r="F41" s="1477"/>
      <c r="G41" s="1477"/>
      <c r="H41" s="1477"/>
      <c r="I41" s="1477"/>
      <c r="J41" s="1477"/>
      <c r="K41" s="1478"/>
    </row>
    <row r="42" spans="1:11" s="325" customFormat="1" ht="18" customHeight="1" outlineLevel="2" thickBot="1" x14ac:dyDescent="0.3">
      <c r="A42" s="339"/>
      <c r="B42" s="391" t="s">
        <v>649</v>
      </c>
      <c r="C42" s="1448">
        <f>SUM(C38:C41)</f>
        <v>0</v>
      </c>
      <c r="D42" s="1448">
        <f t="shared" ref="D42:K42" si="6">SUM(D38:D41)</f>
        <v>0</v>
      </c>
      <c r="E42" s="1448">
        <f t="shared" si="6"/>
        <v>0</v>
      </c>
      <c r="F42" s="1448">
        <f t="shared" si="6"/>
        <v>0</v>
      </c>
      <c r="G42" s="1448">
        <f t="shared" si="6"/>
        <v>0</v>
      </c>
      <c r="H42" s="1448">
        <f t="shared" si="6"/>
        <v>0</v>
      </c>
      <c r="I42" s="1448">
        <f t="shared" si="6"/>
        <v>0</v>
      </c>
      <c r="J42" s="1448">
        <f t="shared" si="6"/>
        <v>0</v>
      </c>
      <c r="K42" s="1482">
        <f t="shared" si="6"/>
        <v>0</v>
      </c>
    </row>
    <row r="43" spans="1:11" s="322" customFormat="1" ht="15.75" outlineLevel="1" thickBot="1" x14ac:dyDescent="0.3">
      <c r="I43" s="1294"/>
    </row>
    <row r="44" spans="1:11" s="325" customFormat="1" ht="21" customHeight="1" outlineLevel="1" thickBot="1" x14ac:dyDescent="0.3">
      <c r="A44" s="326"/>
      <c r="B44" s="634" t="s">
        <v>831</v>
      </c>
      <c r="C44" s="309"/>
      <c r="D44" s="309"/>
      <c r="E44" s="309"/>
      <c r="F44" s="309"/>
      <c r="G44" s="309"/>
      <c r="H44" s="309"/>
      <c r="I44" s="309"/>
      <c r="J44" s="309"/>
      <c r="K44" s="310"/>
    </row>
    <row r="45" spans="1:11" s="325" customFormat="1" outlineLevel="2" x14ac:dyDescent="0.25">
      <c r="A45" s="327"/>
      <c r="B45" s="332" t="s">
        <v>1231</v>
      </c>
      <c r="C45" s="1473"/>
      <c r="D45" s="1474"/>
      <c r="E45" s="1474"/>
      <c r="F45" s="1474"/>
      <c r="G45" s="1474"/>
      <c r="H45" s="1474"/>
      <c r="I45" s="1474"/>
      <c r="J45" s="1474"/>
      <c r="K45" s="1475"/>
    </row>
    <row r="46" spans="1:11" s="322" customFormat="1" outlineLevel="2" x14ac:dyDescent="0.25">
      <c r="B46" s="332" t="s">
        <v>650</v>
      </c>
      <c r="C46" s="1473"/>
      <c r="D46" s="1474"/>
      <c r="E46" s="1474"/>
      <c r="F46" s="1474"/>
      <c r="G46" s="1474"/>
      <c r="H46" s="1474"/>
      <c r="I46" s="1474"/>
      <c r="J46" s="1474"/>
      <c r="K46" s="1475"/>
    </row>
    <row r="47" spans="1:11" s="322" customFormat="1" outlineLevel="2" x14ac:dyDescent="0.25">
      <c r="B47" s="332" t="s">
        <v>651</v>
      </c>
      <c r="C47" s="1473"/>
      <c r="D47" s="1474"/>
      <c r="E47" s="1474"/>
      <c r="F47" s="1474"/>
      <c r="G47" s="1474"/>
      <c r="H47" s="1474"/>
      <c r="I47" s="1474"/>
      <c r="J47" s="1474"/>
      <c r="K47" s="1475"/>
    </row>
    <row r="48" spans="1:11" s="325" customFormat="1" outlineLevel="2" x14ac:dyDescent="0.25">
      <c r="A48" s="327"/>
      <c r="B48" s="332" t="s">
        <v>652</v>
      </c>
      <c r="C48" s="1473"/>
      <c r="D48" s="1474"/>
      <c r="E48" s="1474"/>
      <c r="F48" s="1474"/>
      <c r="G48" s="1474"/>
      <c r="H48" s="1474"/>
      <c r="I48" s="1474"/>
      <c r="J48" s="1474"/>
      <c r="K48" s="1475"/>
    </row>
    <row r="49" spans="1:11" s="325" customFormat="1" outlineLevel="2" x14ac:dyDescent="0.25">
      <c r="A49" s="327"/>
      <c r="B49" s="332" t="s">
        <v>653</v>
      </c>
      <c r="C49" s="1473"/>
      <c r="D49" s="1474"/>
      <c r="E49" s="1474"/>
      <c r="F49" s="1474"/>
      <c r="G49" s="1474"/>
      <c r="H49" s="1474"/>
      <c r="I49" s="1474"/>
      <c r="J49" s="1474"/>
      <c r="K49" s="1475"/>
    </row>
    <row r="50" spans="1:11" s="325" customFormat="1" outlineLevel="2" x14ac:dyDescent="0.25">
      <c r="A50" s="327"/>
      <c r="B50" s="1350" t="s">
        <v>1219</v>
      </c>
      <c r="C50" s="1473"/>
      <c r="D50" s="1474"/>
      <c r="E50" s="1474"/>
      <c r="F50" s="1474"/>
      <c r="G50" s="1474"/>
      <c r="H50" s="1474"/>
      <c r="I50" s="1474"/>
      <c r="J50" s="1474"/>
      <c r="K50" s="1475"/>
    </row>
    <row r="51" spans="1:11" s="325" customFormat="1" ht="15.75" outlineLevel="2" thickBot="1" x14ac:dyDescent="0.3">
      <c r="A51" s="327"/>
      <c r="B51" s="335" t="s">
        <v>654</v>
      </c>
      <c r="C51" s="1473"/>
      <c r="D51" s="1474"/>
      <c r="E51" s="1474"/>
      <c r="F51" s="1474"/>
      <c r="G51" s="1474"/>
      <c r="H51" s="1474"/>
      <c r="I51" s="1474"/>
      <c r="J51" s="1474"/>
      <c r="K51" s="1475"/>
    </row>
    <row r="52" spans="1:11" s="325" customFormat="1" ht="18" customHeight="1" outlineLevel="2" thickBot="1" x14ac:dyDescent="0.3">
      <c r="A52" s="339"/>
      <c r="B52" s="391" t="s">
        <v>655</v>
      </c>
      <c r="C52" s="1448">
        <f t="shared" ref="C52:I52" si="7">SUM(C45:C51)</f>
        <v>0</v>
      </c>
      <c r="D52" s="1448">
        <f t="shared" si="7"/>
        <v>0</v>
      </c>
      <c r="E52" s="1448">
        <f t="shared" si="7"/>
        <v>0</v>
      </c>
      <c r="F52" s="1448">
        <f t="shared" si="7"/>
        <v>0</v>
      </c>
      <c r="G52" s="1448">
        <f t="shared" si="7"/>
        <v>0</v>
      </c>
      <c r="H52" s="1448">
        <f t="shared" si="7"/>
        <v>0</v>
      </c>
      <c r="I52" s="1448">
        <f t="shared" si="7"/>
        <v>0</v>
      </c>
      <c r="J52" s="1448">
        <f>SUM(J45:J51)</f>
        <v>0</v>
      </c>
      <c r="K52" s="1482">
        <f>SUM(K45:K51)</f>
        <v>0</v>
      </c>
    </row>
    <row r="53" spans="1:11" s="322" customFormat="1" ht="15.75" outlineLevel="1" thickBot="1" x14ac:dyDescent="0.3">
      <c r="I53" s="1294"/>
    </row>
    <row r="54" spans="1:11" s="325" customFormat="1" ht="21" customHeight="1" outlineLevel="1" thickBot="1" x14ac:dyDescent="0.3">
      <c r="A54" s="326"/>
      <c r="B54" s="635" t="s">
        <v>832</v>
      </c>
      <c r="C54" s="423"/>
      <c r="D54" s="423"/>
      <c r="E54" s="423"/>
      <c r="F54" s="423"/>
      <c r="G54" s="423"/>
      <c r="H54" s="423"/>
      <c r="I54" s="423"/>
      <c r="J54" s="423"/>
      <c r="K54" s="451"/>
    </row>
    <row r="55" spans="1:11" s="325" customFormat="1" ht="24" customHeight="1" outlineLevel="2" x14ac:dyDescent="0.25">
      <c r="A55" s="339"/>
      <c r="B55" s="88" t="s">
        <v>656</v>
      </c>
      <c r="C55" s="1483">
        <f t="shared" ref="C55:K55" si="8">C42-C52</f>
        <v>0</v>
      </c>
      <c r="D55" s="1483">
        <f t="shared" si="8"/>
        <v>0</v>
      </c>
      <c r="E55" s="1483">
        <f t="shared" si="8"/>
        <v>0</v>
      </c>
      <c r="F55" s="1483">
        <f t="shared" si="8"/>
        <v>0</v>
      </c>
      <c r="G55" s="1483">
        <f t="shared" si="8"/>
        <v>0</v>
      </c>
      <c r="H55" s="1483">
        <f t="shared" si="8"/>
        <v>0</v>
      </c>
      <c r="I55" s="1483">
        <f t="shared" si="8"/>
        <v>0</v>
      </c>
      <c r="J55" s="1483">
        <f t="shared" si="8"/>
        <v>0</v>
      </c>
      <c r="K55" s="1484">
        <f t="shared" si="8"/>
        <v>0</v>
      </c>
    </row>
    <row r="56" spans="1:11" s="325" customFormat="1" ht="23.25" customHeight="1" outlineLevel="2" x14ac:dyDescent="0.25">
      <c r="A56" s="341"/>
      <c r="B56" s="582" t="s">
        <v>657</v>
      </c>
      <c r="C56" s="1474"/>
      <c r="D56" s="1474"/>
      <c r="E56" s="1474"/>
      <c r="F56" s="1474"/>
      <c r="G56" s="1474"/>
      <c r="H56" s="1474"/>
      <c r="I56" s="1474"/>
      <c r="J56" s="1474"/>
      <c r="K56" s="1475"/>
    </row>
    <row r="57" spans="1:11" s="325" customFormat="1" ht="23.25" customHeight="1" outlineLevel="2" thickBot="1" x14ac:dyDescent="0.3">
      <c r="A57" s="339"/>
      <c r="B57" s="623" t="s">
        <v>658</v>
      </c>
      <c r="C57" s="1485">
        <f>C55-C56</f>
        <v>0</v>
      </c>
      <c r="D57" s="1485">
        <f t="shared" ref="D57:K57" si="9">D55-D56</f>
        <v>0</v>
      </c>
      <c r="E57" s="1485">
        <f t="shared" si="9"/>
        <v>0</v>
      </c>
      <c r="F57" s="1485">
        <f t="shared" si="9"/>
        <v>0</v>
      </c>
      <c r="G57" s="1485">
        <f t="shared" si="9"/>
        <v>0</v>
      </c>
      <c r="H57" s="1485">
        <f t="shared" si="9"/>
        <v>0</v>
      </c>
      <c r="I57" s="1485">
        <f t="shared" ref="I57:J57" si="10">I55-I56</f>
        <v>0</v>
      </c>
      <c r="J57" s="1485">
        <f t="shared" si="10"/>
        <v>0</v>
      </c>
      <c r="K57" s="1486">
        <f t="shared" si="9"/>
        <v>0</v>
      </c>
    </row>
    <row r="58" spans="1:11" s="325" customFormat="1" ht="12.75" outlineLevel="1" x14ac:dyDescent="0.25">
      <c r="A58" s="339"/>
    </row>
    <row r="59" spans="1:11" s="325" customFormat="1" x14ac:dyDescent="0.25">
      <c r="A59" s="322"/>
      <c r="B59" s="322"/>
      <c r="C59" s="322"/>
      <c r="D59" s="322"/>
      <c r="E59" s="322"/>
      <c r="F59" s="322"/>
      <c r="G59" s="322"/>
      <c r="H59" s="322"/>
      <c r="I59" s="1294"/>
      <c r="J59" s="322"/>
      <c r="K59" s="322"/>
    </row>
    <row r="60" spans="1:11" s="325" customFormat="1" ht="15.75" thickBot="1" x14ac:dyDescent="0.3">
      <c r="A60" s="322"/>
      <c r="B60" s="322"/>
      <c r="C60" s="322"/>
      <c r="D60" s="322"/>
      <c r="E60" s="322"/>
      <c r="F60" s="322"/>
      <c r="G60" s="322"/>
      <c r="H60" s="322"/>
      <c r="I60" s="1294"/>
      <c r="J60" s="322"/>
      <c r="K60" s="322"/>
    </row>
    <row r="61" spans="1:11" s="325" customFormat="1" ht="25.5" customHeight="1" thickBot="1" x14ac:dyDescent="0.3">
      <c r="A61" s="324"/>
      <c r="B61" s="84" t="s">
        <v>891</v>
      </c>
      <c r="C61" s="84"/>
      <c r="D61" s="84"/>
      <c r="E61" s="84"/>
      <c r="F61" s="84"/>
      <c r="G61" s="84"/>
      <c r="H61" s="84"/>
      <c r="I61" s="84"/>
      <c r="J61" s="84"/>
      <c r="K61" s="84"/>
    </row>
    <row r="62" spans="1:11" s="322" customFormat="1" ht="25.5" customHeight="1" outlineLevel="1" x14ac:dyDescent="0.25">
      <c r="C62" s="1659" t="s">
        <v>638</v>
      </c>
      <c r="D62" s="1659"/>
      <c r="E62" s="1659"/>
      <c r="F62" s="1659"/>
      <c r="G62" s="1659"/>
      <c r="H62" s="1659"/>
      <c r="I62" s="1659"/>
      <c r="J62" s="1659"/>
      <c r="K62" s="1660"/>
    </row>
    <row r="63" spans="1:11" s="322" customFormat="1" ht="25.5" customHeight="1" outlineLevel="1" thickBot="1" x14ac:dyDescent="0.3">
      <c r="C63" s="444">
        <f ca="1">dms_y1</f>
        <v>2011</v>
      </c>
      <c r="D63" s="445">
        <f ca="1">dms_y2</f>
        <v>2012</v>
      </c>
      <c r="E63" s="445">
        <f ca="1">dms_y3</f>
        <v>2013</v>
      </c>
      <c r="F63" s="445">
        <f ca="1">dms_y4</f>
        <v>2014</v>
      </c>
      <c r="G63" s="445">
        <f ca="1">dms_y5</f>
        <v>2015</v>
      </c>
      <c r="H63" s="1318">
        <f ca="1">dms_y6</f>
        <v>2016</v>
      </c>
      <c r="I63" s="1318">
        <f ca="1">dms_y7</f>
        <v>2017</v>
      </c>
      <c r="J63" s="1318">
        <f ca="1">dms_y8</f>
        <v>2018</v>
      </c>
      <c r="K63" s="1318">
        <f ca="1">dms_y9</f>
        <v>2019</v>
      </c>
    </row>
    <row r="64" spans="1:11" s="325" customFormat="1" ht="21" customHeight="1" outlineLevel="1" thickBot="1" x14ac:dyDescent="0.3">
      <c r="A64" s="326"/>
      <c r="B64" s="634" t="s">
        <v>833</v>
      </c>
      <c r="C64" s="309"/>
      <c r="D64" s="309"/>
      <c r="E64" s="309"/>
      <c r="F64" s="309"/>
      <c r="G64" s="309"/>
      <c r="H64" s="309"/>
      <c r="I64" s="309"/>
      <c r="J64" s="309"/>
      <c r="K64" s="310"/>
    </row>
    <row r="65" spans="1:11" s="325" customFormat="1" outlineLevel="2" x14ac:dyDescent="0.25">
      <c r="A65" s="327"/>
      <c r="B65" s="328" t="s">
        <v>645</v>
      </c>
      <c r="C65" s="1341">
        <v>196153436.05819988</v>
      </c>
      <c r="D65" s="1342">
        <v>212730580.13940001</v>
      </c>
      <c r="E65" s="1342">
        <v>190996493.29719985</v>
      </c>
      <c r="F65" s="1342">
        <v>170581443.26373625</v>
      </c>
      <c r="G65" s="1342">
        <v>186224278.28899968</v>
      </c>
      <c r="H65" s="1342">
        <v>207516410.74170011</v>
      </c>
      <c r="I65" s="1342">
        <v>215223457.58770031</v>
      </c>
      <c r="J65" s="1342">
        <v>195916320.81070033</v>
      </c>
      <c r="K65" s="1343">
        <v>204913966.18000001</v>
      </c>
    </row>
    <row r="66" spans="1:11" s="325" customFormat="1" outlineLevel="2" x14ac:dyDescent="0.25">
      <c r="A66" s="327"/>
      <c r="B66" s="332" t="s">
        <v>646</v>
      </c>
      <c r="C66" s="1344">
        <v>0</v>
      </c>
      <c r="D66" s="1345">
        <v>0</v>
      </c>
      <c r="E66" s="1345">
        <v>0</v>
      </c>
      <c r="F66" s="1345">
        <v>0</v>
      </c>
      <c r="G66" s="1345">
        <v>0</v>
      </c>
      <c r="H66" s="1345">
        <v>0</v>
      </c>
      <c r="I66" s="1345">
        <v>0</v>
      </c>
      <c r="J66" s="1345">
        <v>0</v>
      </c>
      <c r="K66" s="1346">
        <v>0</v>
      </c>
    </row>
    <row r="67" spans="1:11" s="325" customFormat="1" outlineLevel="2" x14ac:dyDescent="0.25">
      <c r="A67" s="327"/>
      <c r="B67" s="332" t="s">
        <v>647</v>
      </c>
      <c r="C67" s="1344">
        <v>0</v>
      </c>
      <c r="D67" s="1345">
        <v>0</v>
      </c>
      <c r="E67" s="1345">
        <v>0</v>
      </c>
      <c r="F67" s="1345">
        <v>0</v>
      </c>
      <c r="G67" s="1345">
        <v>0</v>
      </c>
      <c r="H67" s="1345">
        <v>0</v>
      </c>
      <c r="I67" s="1345">
        <v>0</v>
      </c>
      <c r="J67" s="1345">
        <v>0</v>
      </c>
      <c r="K67" s="1346">
        <v>0</v>
      </c>
    </row>
    <row r="68" spans="1:11" s="325" customFormat="1" ht="15.75" outlineLevel="2" thickBot="1" x14ac:dyDescent="0.3">
      <c r="A68" s="327"/>
      <c r="B68" s="335" t="s">
        <v>648</v>
      </c>
      <c r="C68" s="1347">
        <v>662756.48807653785</v>
      </c>
      <c r="D68" s="1348">
        <v>954634.45074687898</v>
      </c>
      <c r="E68" s="1348">
        <v>678606.33156478405</v>
      </c>
      <c r="F68" s="1348">
        <v>1260191.6259341538</v>
      </c>
      <c r="G68" s="1348">
        <v>1468948.1276417971</v>
      </c>
      <c r="H68" s="1348">
        <v>4551062</v>
      </c>
      <c r="I68" s="1348">
        <v>758393</v>
      </c>
      <c r="J68" s="1348">
        <v>7425679.21</v>
      </c>
      <c r="K68" s="1349">
        <v>4580426.68</v>
      </c>
    </row>
    <row r="69" spans="1:11" s="325" customFormat="1" ht="18" customHeight="1" outlineLevel="2" thickBot="1" x14ac:dyDescent="0.3">
      <c r="A69" s="339"/>
      <c r="B69" s="391" t="s">
        <v>649</v>
      </c>
      <c r="C69" s="392">
        <v>196816192.54627642</v>
      </c>
      <c r="D69" s="392">
        <v>213685214.5901469</v>
      </c>
      <c r="E69" s="392">
        <v>191675099.62876463</v>
      </c>
      <c r="F69" s="392">
        <v>171841634.8896704</v>
      </c>
      <c r="G69" s="392">
        <v>187693226.41664147</v>
      </c>
      <c r="H69" s="392">
        <v>212067472.74170011</v>
      </c>
      <c r="I69" s="392">
        <v>215981850.58770031</v>
      </c>
      <c r="J69" s="392">
        <v>203342000.02070034</v>
      </c>
      <c r="K69" s="393">
        <v>209494392.86000001</v>
      </c>
    </row>
    <row r="70" spans="1:11" s="322" customFormat="1" ht="15.75" outlineLevel="1" thickBot="1" x14ac:dyDescent="0.3">
      <c r="C70" s="344"/>
      <c r="D70" s="344"/>
      <c r="E70" s="344"/>
      <c r="F70" s="344"/>
      <c r="G70" s="344"/>
      <c r="H70" s="344"/>
      <c r="I70" s="344"/>
      <c r="J70" s="344"/>
      <c r="K70" s="344"/>
    </row>
    <row r="71" spans="1:11" s="325" customFormat="1" ht="21" customHeight="1" outlineLevel="1" thickBot="1" x14ac:dyDescent="0.3">
      <c r="A71" s="326"/>
      <c r="B71" s="634" t="s">
        <v>834</v>
      </c>
      <c r="C71" s="309"/>
      <c r="D71" s="309"/>
      <c r="E71" s="309"/>
      <c r="F71" s="309"/>
      <c r="G71" s="309"/>
      <c r="H71" s="309"/>
      <c r="I71" s="309"/>
      <c r="J71" s="309"/>
      <c r="K71" s="310"/>
    </row>
    <row r="72" spans="1:11" s="325" customFormat="1" outlineLevel="2" x14ac:dyDescent="0.25">
      <c r="A72" s="327"/>
      <c r="B72" s="332" t="s">
        <v>1231</v>
      </c>
      <c r="C72" s="1344">
        <v>43210362.338788986</v>
      </c>
      <c r="D72" s="1345">
        <v>52224532.489263773</v>
      </c>
      <c r="E72" s="1345">
        <v>54559381.277696967</v>
      </c>
      <c r="F72" s="1345">
        <v>50065660.712258816</v>
      </c>
      <c r="G72" s="1345">
        <v>50999711.153324306</v>
      </c>
      <c r="H72" s="1345">
        <v>51042967.953422703</v>
      </c>
      <c r="I72" s="1345">
        <v>56564773.947055906</v>
      </c>
      <c r="J72" s="1345">
        <v>56461202.050583996</v>
      </c>
      <c r="K72" s="1346">
        <v>57043175.539999977</v>
      </c>
    </row>
    <row r="73" spans="1:11" s="322" customFormat="1" outlineLevel="2" x14ac:dyDescent="0.25">
      <c r="B73" s="332" t="s">
        <v>650</v>
      </c>
      <c r="C73" s="1344">
        <v>52224677.082616121</v>
      </c>
      <c r="D73" s="1345">
        <v>55177856.471201181</v>
      </c>
      <c r="E73" s="1345">
        <v>16744494.307639658</v>
      </c>
      <c r="F73" s="1345">
        <v>21008556.687437922</v>
      </c>
      <c r="G73" s="1345">
        <v>25494329.250308633</v>
      </c>
      <c r="H73" s="1345">
        <v>28672517.86825845</v>
      </c>
      <c r="I73" s="1345">
        <v>31329273.332206793</v>
      </c>
      <c r="J73" s="1345">
        <v>40937197.876876034</v>
      </c>
      <c r="K73" s="1346">
        <v>30360498.799757991</v>
      </c>
    </row>
    <row r="74" spans="1:11" s="322" customFormat="1" outlineLevel="2" x14ac:dyDescent="0.25">
      <c r="B74" s="332" t="s">
        <v>651</v>
      </c>
      <c r="C74" s="1344">
        <v>0</v>
      </c>
      <c r="D74" s="1345">
        <v>0</v>
      </c>
      <c r="E74" s="1345">
        <v>1824226.2081578076</v>
      </c>
      <c r="F74" s="1345">
        <v>1712266.4575913846</v>
      </c>
      <c r="G74" s="1345">
        <v>1124943.0679033995</v>
      </c>
      <c r="H74" s="1345">
        <v>1677214.0250092149</v>
      </c>
      <c r="I74" s="1345">
        <v>1155524.2726474479</v>
      </c>
      <c r="J74" s="1345">
        <v>1263671.1062280051</v>
      </c>
      <c r="K74" s="1346">
        <v>1142522.7906358577</v>
      </c>
    </row>
    <row r="75" spans="1:11" s="325" customFormat="1" outlineLevel="2" x14ac:dyDescent="0.25">
      <c r="A75" s="327"/>
      <c r="B75" s="332" t="s">
        <v>652</v>
      </c>
      <c r="C75" s="1344">
        <v>-4388</v>
      </c>
      <c r="D75" s="1345">
        <v>-908837.55</v>
      </c>
      <c r="E75" s="1345">
        <v>0</v>
      </c>
      <c r="F75" s="1345">
        <v>0</v>
      </c>
      <c r="G75" s="1345">
        <v>3309905.3899999997</v>
      </c>
      <c r="H75" s="1345">
        <v>2486026.5999999996</v>
      </c>
      <c r="I75" s="1345">
        <v>1023401.8900000002</v>
      </c>
      <c r="J75" s="1345">
        <v>7457226.1700000018</v>
      </c>
      <c r="K75" s="1346">
        <v>5647158.4300000072</v>
      </c>
    </row>
    <row r="76" spans="1:11" s="325" customFormat="1" outlineLevel="2" x14ac:dyDescent="0.25">
      <c r="A76" s="327"/>
      <c r="B76" s="332" t="s">
        <v>653</v>
      </c>
      <c r="C76" s="1344">
        <v>0</v>
      </c>
      <c r="D76" s="1345">
        <v>0</v>
      </c>
      <c r="E76" s="1345">
        <v>0</v>
      </c>
      <c r="F76" s="1345">
        <v>0</v>
      </c>
      <c r="G76" s="1345">
        <v>0</v>
      </c>
      <c r="H76" s="1345">
        <v>0</v>
      </c>
      <c r="I76" s="1345">
        <v>1850595</v>
      </c>
      <c r="J76" s="1345">
        <v>0</v>
      </c>
      <c r="K76" s="1346">
        <v>0</v>
      </c>
    </row>
    <row r="77" spans="1:11" s="325" customFormat="1" outlineLevel="2" x14ac:dyDescent="0.25">
      <c r="A77" s="327"/>
      <c r="B77" s="1350" t="s">
        <v>1219</v>
      </c>
      <c r="C77" s="1344">
        <v>0</v>
      </c>
      <c r="D77" s="1345">
        <v>0</v>
      </c>
      <c r="E77" s="1345">
        <v>0</v>
      </c>
      <c r="F77" s="1345">
        <v>0</v>
      </c>
      <c r="G77" s="1345">
        <v>0</v>
      </c>
      <c r="H77" s="1345">
        <v>0</v>
      </c>
      <c r="I77" s="1345">
        <v>0</v>
      </c>
      <c r="J77" s="1345">
        <v>0</v>
      </c>
      <c r="K77" s="1346">
        <v>0</v>
      </c>
    </row>
    <row r="78" spans="1:11" s="325" customFormat="1" ht="15.75" outlineLevel="2" thickBot="1" x14ac:dyDescent="0.3">
      <c r="A78" s="327"/>
      <c r="B78" s="335" t="s">
        <v>654</v>
      </c>
      <c r="C78" s="1344">
        <v>0</v>
      </c>
      <c r="D78" s="1345">
        <v>0</v>
      </c>
      <c r="E78" s="1345">
        <v>0</v>
      </c>
      <c r="F78" s="1345">
        <v>0</v>
      </c>
      <c r="G78" s="1345">
        <v>0</v>
      </c>
      <c r="H78" s="1345">
        <v>0</v>
      </c>
      <c r="I78" s="1345">
        <v>0</v>
      </c>
      <c r="J78" s="1345">
        <v>0</v>
      </c>
      <c r="K78" s="1346">
        <v>0</v>
      </c>
    </row>
    <row r="79" spans="1:11" s="325" customFormat="1" ht="18" customHeight="1" outlineLevel="2" thickBot="1" x14ac:dyDescent="0.3">
      <c r="A79" s="339"/>
      <c r="B79" s="391" t="s">
        <v>655</v>
      </c>
      <c r="C79" s="392">
        <v>95430651.421405107</v>
      </c>
      <c r="D79" s="392">
        <v>106493551.41046496</v>
      </c>
      <c r="E79" s="392">
        <v>73128101.793494433</v>
      </c>
      <c r="F79" s="392">
        <v>72786483.857288122</v>
      </c>
      <c r="G79" s="392">
        <v>80928888.861536339</v>
      </c>
      <c r="H79" s="392">
        <v>83878726.446690366</v>
      </c>
      <c r="I79" s="392">
        <v>91923568.441910133</v>
      </c>
      <c r="J79" s="392">
        <v>106119297.20368804</v>
      </c>
      <c r="K79" s="393">
        <v>94193355.560393825</v>
      </c>
    </row>
    <row r="80" spans="1:11" s="322" customFormat="1" ht="15.75" outlineLevel="1" thickBot="1" x14ac:dyDescent="0.3">
      <c r="C80" s="344"/>
      <c r="D80" s="344"/>
      <c r="E80" s="344"/>
      <c r="F80" s="344"/>
      <c r="G80" s="344"/>
      <c r="H80" s="344"/>
      <c r="I80" s="344"/>
      <c r="J80" s="344"/>
      <c r="K80" s="344"/>
    </row>
    <row r="81" spans="1:11" s="325" customFormat="1" ht="21" customHeight="1" outlineLevel="1" thickBot="1" x14ac:dyDescent="0.3">
      <c r="A81" s="326"/>
      <c r="B81" s="635" t="s">
        <v>835</v>
      </c>
      <c r="C81" s="423"/>
      <c r="D81" s="423"/>
      <c r="E81" s="423"/>
      <c r="F81" s="423"/>
      <c r="G81" s="423"/>
      <c r="H81" s="423"/>
      <c r="I81" s="423"/>
      <c r="J81" s="423"/>
      <c r="K81" s="451"/>
    </row>
    <row r="82" spans="1:11" s="325" customFormat="1" ht="24" customHeight="1" outlineLevel="2" x14ac:dyDescent="0.25">
      <c r="A82" s="339"/>
      <c r="B82" s="88" t="s">
        <v>656</v>
      </c>
      <c r="C82" s="1342">
        <v>101385541.12487131</v>
      </c>
      <c r="D82" s="1342">
        <v>107191663.17968194</v>
      </c>
      <c r="E82" s="1342">
        <v>118546997.8352702</v>
      </c>
      <c r="F82" s="1342">
        <v>99055151.03238228</v>
      </c>
      <c r="G82" s="1342">
        <v>106764337.55510513</v>
      </c>
      <c r="H82" s="1342">
        <v>128188746.29500975</v>
      </c>
      <c r="I82" s="1342">
        <v>124058282.14579017</v>
      </c>
      <c r="J82" s="1342">
        <v>97222702.817012295</v>
      </c>
      <c r="K82" s="1343">
        <v>115301037.29960619</v>
      </c>
    </row>
    <row r="83" spans="1:11" s="325" customFormat="1" ht="23.25" customHeight="1" outlineLevel="2" x14ac:dyDescent="0.25">
      <c r="A83" s="341"/>
      <c r="B83" s="582" t="s">
        <v>657</v>
      </c>
      <c r="C83" s="1345">
        <v>0</v>
      </c>
      <c r="D83" s="1345">
        <v>0</v>
      </c>
      <c r="E83" s="1345">
        <v>0</v>
      </c>
      <c r="F83" s="1345">
        <v>0</v>
      </c>
      <c r="G83" s="1345">
        <v>0</v>
      </c>
      <c r="H83" s="1345">
        <v>0</v>
      </c>
      <c r="I83" s="1345">
        <v>0</v>
      </c>
      <c r="J83" s="1345">
        <v>0</v>
      </c>
      <c r="K83" s="1346">
        <v>0</v>
      </c>
    </row>
    <row r="84" spans="1:11" s="325" customFormat="1" ht="23.25" customHeight="1" outlineLevel="2" thickBot="1" x14ac:dyDescent="0.3">
      <c r="A84" s="339"/>
      <c r="B84" s="623" t="s">
        <v>658</v>
      </c>
      <c r="C84" s="1348">
        <v>101385541.12487131</v>
      </c>
      <c r="D84" s="1348">
        <v>107191663.17968194</v>
      </c>
      <c r="E84" s="1348">
        <v>118546997.8352702</v>
      </c>
      <c r="F84" s="1348">
        <v>99055151.03238228</v>
      </c>
      <c r="G84" s="1348">
        <v>106764337.55510513</v>
      </c>
      <c r="H84" s="1348">
        <v>128188746.29500975</v>
      </c>
      <c r="I84" s="1348">
        <v>124058282.14579017</v>
      </c>
      <c r="J84" s="1348">
        <v>97222702.817012295</v>
      </c>
      <c r="K84" s="1349">
        <v>115301037.29960619</v>
      </c>
    </row>
    <row r="85" spans="1:11" s="325" customFormat="1" ht="12.75" outlineLevel="1" x14ac:dyDescent="0.25">
      <c r="A85" s="339"/>
    </row>
    <row r="86" spans="1:11" s="325" customFormat="1" x14ac:dyDescent="0.25">
      <c r="A86" s="322"/>
      <c r="B86" s="322"/>
      <c r="C86" s="322"/>
      <c r="D86" s="322"/>
      <c r="E86" s="322"/>
      <c r="F86" s="322"/>
      <c r="G86" s="322"/>
      <c r="H86" s="322"/>
      <c r="I86" s="1294"/>
      <c r="J86" s="322"/>
      <c r="K86" s="322"/>
    </row>
    <row r="87" spans="1:11" s="325" customFormat="1" x14ac:dyDescent="0.25">
      <c r="A87" s="322"/>
      <c r="B87" s="322"/>
      <c r="C87" s="322"/>
      <c r="D87" s="322"/>
      <c r="E87" s="322"/>
      <c r="F87" s="322"/>
      <c r="G87" s="322"/>
      <c r="H87" s="322"/>
      <c r="I87" s="1294"/>
      <c r="J87" s="322"/>
      <c r="K87" s="322"/>
    </row>
  </sheetData>
  <mergeCells count="3">
    <mergeCell ref="C8:K8"/>
    <mergeCell ref="C35:K35"/>
    <mergeCell ref="C62:K62"/>
  </mergeCells>
  <pageMargins left="0.7" right="0.7" top="0.75" bottom="0.75" header="0.3" footer="0.3"/>
  <pageSetup paperSize="9" orientation="portrait" r:id="rId1"/>
  <customProperties>
    <customPr name="_pios_id" r:id="rId2"/>
    <customPr name="EpmWorksheetKeyString_GUID" r:id="rId3"/>
  </customProperties>
  <ignoredErrors>
    <ignoredError sqref="C28:K28 C55:K55 C30:K30 C57:K57" unlocked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249977111117893"/>
  </sheetPr>
  <dimension ref="B1:CL127"/>
  <sheetViews>
    <sheetView showGridLines="0" zoomScale="80" zoomScaleNormal="80" workbookViewId="0">
      <selection activeCell="B2" sqref="B2:E2"/>
    </sheetView>
  </sheetViews>
  <sheetFormatPr defaultColWidth="9.140625" defaultRowHeight="15" x14ac:dyDescent="0.25"/>
  <cols>
    <col min="1" max="1" width="9.140625" style="521"/>
    <col min="2" max="2" width="43.5703125" style="521" customWidth="1"/>
    <col min="3" max="3" width="16.7109375" style="521" customWidth="1"/>
    <col min="4" max="5" width="15.5703125" style="521" customWidth="1"/>
    <col min="6" max="8" width="15.140625" style="521" customWidth="1"/>
    <col min="9" max="12" width="16.7109375" style="521" customWidth="1"/>
    <col min="13" max="13" width="15.140625" style="521" customWidth="1"/>
    <col min="14" max="14" width="13.5703125" style="521" customWidth="1"/>
    <col min="15" max="15" width="15.140625" style="521" customWidth="1"/>
    <col min="16" max="16" width="13.5703125" style="521" customWidth="1"/>
    <col min="17" max="17" width="14.85546875" style="521" customWidth="1"/>
    <col min="18" max="19" width="16.140625" style="521" customWidth="1"/>
    <col min="20" max="20" width="18.42578125" style="521" customWidth="1"/>
    <col min="21" max="21" width="15.42578125" style="521" customWidth="1"/>
    <col min="22" max="22" width="20.85546875" style="521" customWidth="1"/>
    <col min="23" max="23" width="11.140625" style="521" customWidth="1"/>
    <col min="24" max="24" width="9.5703125" style="521" customWidth="1"/>
    <col min="25" max="16384" width="9.140625" style="521"/>
  </cols>
  <sheetData>
    <row r="1" spans="2:24" ht="51" customHeight="1" x14ac:dyDescent="0.25">
      <c r="B1" s="651" t="s">
        <v>893</v>
      </c>
      <c r="C1" s="652"/>
      <c r="D1" s="652"/>
      <c r="E1" s="652"/>
      <c r="F1" s="652"/>
      <c r="G1" s="652"/>
      <c r="H1" s="652"/>
      <c r="I1" s="652"/>
      <c r="J1" s="652"/>
      <c r="K1" s="652"/>
      <c r="L1" s="652"/>
      <c r="M1" s="652"/>
    </row>
    <row r="2" spans="2:24" ht="30" customHeight="1" x14ac:dyDescent="0.25"/>
    <row r="3" spans="2:24" x14ac:dyDescent="0.25">
      <c r="B3" s="1"/>
    </row>
    <row r="4" spans="2:24" ht="19.5" customHeight="1" x14ac:dyDescent="0.25">
      <c r="B4" s="1540" t="s">
        <v>0</v>
      </c>
      <c r="C4" s="1541"/>
      <c r="D4" s="1541"/>
      <c r="E4" s="1541"/>
      <c r="F4" s="1541"/>
      <c r="G4" s="1541"/>
      <c r="H4" s="1541"/>
      <c r="I4" s="1541"/>
      <c r="J4" s="1541"/>
      <c r="K4" s="1541"/>
      <c r="L4" s="1541"/>
      <c r="M4" s="1541"/>
      <c r="N4" s="1541"/>
      <c r="O4" s="1541"/>
      <c r="P4" s="1541"/>
      <c r="Q4" s="1541"/>
      <c r="R4" s="1541"/>
      <c r="S4" s="1541"/>
      <c r="T4" s="1541"/>
      <c r="U4" s="1541"/>
      <c r="V4" s="1541"/>
    </row>
    <row r="5" spans="2:24" ht="19.5" customHeight="1" thickBot="1" x14ac:dyDescent="0.3">
      <c r="B5" s="2"/>
      <c r="C5" s="3"/>
      <c r="D5" s="3"/>
      <c r="E5" s="3"/>
      <c r="F5" s="653" t="s">
        <v>894</v>
      </c>
      <c r="G5" s="4" t="s">
        <v>1</v>
      </c>
      <c r="H5" s="5" t="s">
        <v>895</v>
      </c>
      <c r="I5" s="4" t="s">
        <v>2</v>
      </c>
      <c r="J5" s="4" t="s">
        <v>3</v>
      </c>
      <c r="K5" s="4" t="s">
        <v>4</v>
      </c>
      <c r="L5" s="4" t="s">
        <v>5</v>
      </c>
      <c r="M5" s="654" t="s">
        <v>896</v>
      </c>
      <c r="N5" s="653" t="s">
        <v>6</v>
      </c>
      <c r="O5" s="4" t="s">
        <v>7</v>
      </c>
      <c r="P5" s="4" t="s">
        <v>8</v>
      </c>
      <c r="Q5" s="4" t="s">
        <v>9</v>
      </c>
      <c r="R5" s="4" t="s">
        <v>10</v>
      </c>
      <c r="S5" s="4" t="s">
        <v>11</v>
      </c>
      <c r="T5" s="4" t="s">
        <v>12</v>
      </c>
      <c r="U5" s="653" t="s">
        <v>897</v>
      </c>
      <c r="V5" s="6"/>
      <c r="W5" s="7"/>
      <c r="X5" s="7"/>
    </row>
    <row r="6" spans="2:24" s="8" customFormat="1" ht="30.75" customHeight="1" thickBot="1" x14ac:dyDescent="0.3">
      <c r="B6" s="655" t="s">
        <v>13</v>
      </c>
      <c r="C6" s="300" t="s">
        <v>14</v>
      </c>
      <c r="D6" s="301" t="s">
        <v>15</v>
      </c>
      <c r="E6" s="301" t="s">
        <v>16</v>
      </c>
      <c r="F6" s="656" t="s">
        <v>17</v>
      </c>
      <c r="G6" s="656" t="s">
        <v>18</v>
      </c>
      <c r="H6" s="656" t="s">
        <v>19</v>
      </c>
      <c r="I6" s="656" t="s">
        <v>20</v>
      </c>
      <c r="J6" s="656" t="s">
        <v>21</v>
      </c>
      <c r="K6" s="656" t="s">
        <v>22</v>
      </c>
      <c r="L6" s="656" t="s">
        <v>23</v>
      </c>
      <c r="M6" s="656" t="s">
        <v>898</v>
      </c>
      <c r="N6" s="656" t="s">
        <v>24</v>
      </c>
      <c r="O6" s="657" t="s">
        <v>25</v>
      </c>
      <c r="P6" s="658" t="s">
        <v>26</v>
      </c>
      <c r="Q6" s="302" t="s">
        <v>27</v>
      </c>
      <c r="R6" s="303" t="s">
        <v>28</v>
      </c>
      <c r="S6" s="303" t="s">
        <v>29</v>
      </c>
      <c r="T6" s="303" t="s">
        <v>30</v>
      </c>
      <c r="U6" s="304" t="s">
        <v>899</v>
      </c>
      <c r="V6" s="659" t="s">
        <v>900</v>
      </c>
      <c r="W6" s="660" t="s">
        <v>31</v>
      </c>
      <c r="X6" s="661" t="s">
        <v>32</v>
      </c>
    </row>
    <row r="7" spans="2:24" x14ac:dyDescent="0.25">
      <c r="B7" s="662" t="s">
        <v>33</v>
      </c>
      <c r="C7" s="663" t="s">
        <v>34</v>
      </c>
      <c r="D7" s="663" t="s">
        <v>35</v>
      </c>
      <c r="E7" s="663" t="s">
        <v>36</v>
      </c>
      <c r="F7" s="664"/>
      <c r="G7" s="665" t="s">
        <v>37</v>
      </c>
      <c r="H7" s="665"/>
      <c r="I7" s="665" t="s">
        <v>37</v>
      </c>
      <c r="J7" s="665" t="s">
        <v>37</v>
      </c>
      <c r="K7" s="665" t="s">
        <v>38</v>
      </c>
      <c r="L7" s="665" t="s">
        <v>37</v>
      </c>
      <c r="M7" s="665" t="s">
        <v>38</v>
      </c>
      <c r="N7" s="664" t="s">
        <v>38</v>
      </c>
      <c r="O7" s="664" t="s">
        <v>38</v>
      </c>
      <c r="P7" s="665" t="s">
        <v>37</v>
      </c>
      <c r="Q7" s="664" t="s">
        <v>37</v>
      </c>
      <c r="R7" s="664" t="s">
        <v>38</v>
      </c>
      <c r="S7" s="665" t="s">
        <v>37</v>
      </c>
      <c r="T7" s="665" t="s">
        <v>37</v>
      </c>
      <c r="U7" s="664" t="s">
        <v>38</v>
      </c>
      <c r="V7" s="665" t="s">
        <v>38</v>
      </c>
      <c r="W7" s="664" t="s">
        <v>38</v>
      </c>
      <c r="X7" s="666" t="s">
        <v>38</v>
      </c>
    </row>
    <row r="8" spans="2:24" x14ac:dyDescent="0.25">
      <c r="B8" s="667" t="s">
        <v>39</v>
      </c>
      <c r="C8" s="668" t="s">
        <v>40</v>
      </c>
      <c r="D8" s="668" t="s">
        <v>35</v>
      </c>
      <c r="E8" s="668" t="s">
        <v>36</v>
      </c>
      <c r="F8" s="669"/>
      <c r="G8" s="670" t="s">
        <v>37</v>
      </c>
      <c r="H8" s="670"/>
      <c r="I8" s="670" t="s">
        <v>38</v>
      </c>
      <c r="J8" s="670" t="s">
        <v>38</v>
      </c>
      <c r="K8" s="670" t="s">
        <v>38</v>
      </c>
      <c r="L8" s="670" t="s">
        <v>37</v>
      </c>
      <c r="M8" s="670" t="s">
        <v>38</v>
      </c>
      <c r="N8" s="669" t="s">
        <v>38</v>
      </c>
      <c r="O8" s="669" t="s">
        <v>38</v>
      </c>
      <c r="P8" s="670" t="s">
        <v>37</v>
      </c>
      <c r="Q8" s="669" t="s">
        <v>37</v>
      </c>
      <c r="R8" s="669" t="s">
        <v>38</v>
      </c>
      <c r="S8" s="670" t="s">
        <v>37</v>
      </c>
      <c r="T8" s="670" t="s">
        <v>37</v>
      </c>
      <c r="U8" s="669" t="s">
        <v>38</v>
      </c>
      <c r="V8" s="670" t="s">
        <v>38</v>
      </c>
      <c r="W8" s="669" t="s">
        <v>38</v>
      </c>
      <c r="X8" s="671" t="s">
        <v>38</v>
      </c>
    </row>
    <row r="9" spans="2:24" x14ac:dyDescent="0.25">
      <c r="B9" s="667" t="s">
        <v>41</v>
      </c>
      <c r="C9" s="668" t="s">
        <v>42</v>
      </c>
      <c r="D9" s="668" t="s">
        <v>35</v>
      </c>
      <c r="E9" s="668" t="s">
        <v>36</v>
      </c>
      <c r="F9" s="669"/>
      <c r="G9" s="670" t="s">
        <v>38</v>
      </c>
      <c r="H9" s="670"/>
      <c r="I9" s="670" t="s">
        <v>38</v>
      </c>
      <c r="J9" s="670" t="s">
        <v>38</v>
      </c>
      <c r="K9" s="670" t="s">
        <v>38</v>
      </c>
      <c r="L9" s="670" t="s">
        <v>38</v>
      </c>
      <c r="M9" s="670" t="s">
        <v>38</v>
      </c>
      <c r="N9" s="669" t="s">
        <v>37</v>
      </c>
      <c r="O9" s="669" t="s">
        <v>38</v>
      </c>
      <c r="P9" s="670" t="s">
        <v>37</v>
      </c>
      <c r="Q9" s="669" t="s">
        <v>38</v>
      </c>
      <c r="R9" s="669" t="s">
        <v>38</v>
      </c>
      <c r="S9" s="670" t="s">
        <v>38</v>
      </c>
      <c r="T9" s="670" t="s">
        <v>37</v>
      </c>
      <c r="U9" s="669" t="s">
        <v>38</v>
      </c>
      <c r="V9" s="670" t="s">
        <v>38</v>
      </c>
      <c r="W9" s="669" t="s">
        <v>38</v>
      </c>
      <c r="X9" s="671" t="s">
        <v>38</v>
      </c>
    </row>
    <row r="10" spans="2:24" x14ac:dyDescent="0.25">
      <c r="B10" s="672" t="s">
        <v>43</v>
      </c>
      <c r="C10" s="673" t="s">
        <v>42</v>
      </c>
      <c r="D10" s="673" t="s">
        <v>35</v>
      </c>
      <c r="E10" s="673" t="s">
        <v>44</v>
      </c>
      <c r="F10" s="669"/>
      <c r="G10" s="670" t="s">
        <v>38</v>
      </c>
      <c r="H10" s="670"/>
      <c r="I10" s="670" t="s">
        <v>38</v>
      </c>
      <c r="J10" s="670" t="s">
        <v>38</v>
      </c>
      <c r="K10" s="670" t="s">
        <v>38</v>
      </c>
      <c r="L10" s="670" t="s">
        <v>38</v>
      </c>
      <c r="M10" s="670" t="s">
        <v>38</v>
      </c>
      <c r="N10" s="669" t="s">
        <v>37</v>
      </c>
      <c r="O10" s="669" t="s">
        <v>38</v>
      </c>
      <c r="P10" s="670" t="s">
        <v>37</v>
      </c>
      <c r="Q10" s="669" t="s">
        <v>38</v>
      </c>
      <c r="R10" s="669" t="s">
        <v>38</v>
      </c>
      <c r="S10" s="670" t="s">
        <v>38</v>
      </c>
      <c r="T10" s="670" t="s">
        <v>37</v>
      </c>
      <c r="U10" s="669" t="s">
        <v>38</v>
      </c>
      <c r="V10" s="670" t="s">
        <v>38</v>
      </c>
      <c r="W10" s="669" t="s">
        <v>38</v>
      </c>
      <c r="X10" s="671" t="s">
        <v>38</v>
      </c>
    </row>
    <row r="11" spans="2:24" x14ac:dyDescent="0.25">
      <c r="B11" s="667" t="s">
        <v>45</v>
      </c>
      <c r="C11" s="668" t="s">
        <v>42</v>
      </c>
      <c r="D11" s="668" t="s">
        <v>35</v>
      </c>
      <c r="E11" s="668" t="s">
        <v>36</v>
      </c>
      <c r="F11" s="669"/>
      <c r="G11" s="670" t="s">
        <v>38</v>
      </c>
      <c r="H11" s="670"/>
      <c r="I11" s="670" t="s">
        <v>38</v>
      </c>
      <c r="J11" s="670" t="s">
        <v>38</v>
      </c>
      <c r="K11" s="670" t="s">
        <v>38</v>
      </c>
      <c r="L11" s="670" t="s">
        <v>38</v>
      </c>
      <c r="M11" s="670" t="s">
        <v>38</v>
      </c>
      <c r="N11" s="669" t="s">
        <v>37</v>
      </c>
      <c r="O11" s="669" t="s">
        <v>38</v>
      </c>
      <c r="P11" s="670" t="s">
        <v>37</v>
      </c>
      <c r="Q11" s="669" t="s">
        <v>38</v>
      </c>
      <c r="R11" s="669" t="s">
        <v>38</v>
      </c>
      <c r="S11" s="670" t="s">
        <v>38</v>
      </c>
      <c r="T11" s="670" t="s">
        <v>37</v>
      </c>
      <c r="U11" s="669" t="s">
        <v>38</v>
      </c>
      <c r="V11" s="670" t="s">
        <v>38</v>
      </c>
      <c r="W11" s="669" t="s">
        <v>38</v>
      </c>
      <c r="X11" s="671" t="s">
        <v>38</v>
      </c>
    </row>
    <row r="12" spans="2:24" x14ac:dyDescent="0.25">
      <c r="B12" s="672" t="s">
        <v>46</v>
      </c>
      <c r="C12" s="674" t="s">
        <v>47</v>
      </c>
      <c r="D12" s="674" t="s">
        <v>35</v>
      </c>
      <c r="E12" s="674" t="s">
        <v>44</v>
      </c>
      <c r="F12" s="669"/>
      <c r="G12" s="670" t="s">
        <v>38</v>
      </c>
      <c r="H12" s="670"/>
      <c r="I12" s="670" t="s">
        <v>38</v>
      </c>
      <c r="J12" s="670" t="s">
        <v>38</v>
      </c>
      <c r="K12" s="670" t="s">
        <v>38</v>
      </c>
      <c r="L12" s="670" t="s">
        <v>38</v>
      </c>
      <c r="M12" s="670" t="s">
        <v>38</v>
      </c>
      <c r="N12" s="669" t="s">
        <v>37</v>
      </c>
      <c r="O12" s="669" t="s">
        <v>38</v>
      </c>
      <c r="P12" s="670" t="s">
        <v>37</v>
      </c>
      <c r="Q12" s="669" t="s">
        <v>38</v>
      </c>
      <c r="R12" s="669" t="s">
        <v>38</v>
      </c>
      <c r="S12" s="670" t="s">
        <v>37</v>
      </c>
      <c r="T12" s="670" t="s">
        <v>37</v>
      </c>
      <c r="U12" s="669" t="s">
        <v>38</v>
      </c>
      <c r="V12" s="670" t="s">
        <v>38</v>
      </c>
      <c r="W12" s="669" t="s">
        <v>38</v>
      </c>
      <c r="X12" s="671" t="s">
        <v>38</v>
      </c>
    </row>
    <row r="13" spans="2:24" x14ac:dyDescent="0.25">
      <c r="B13" s="672" t="s">
        <v>48</v>
      </c>
      <c r="C13" s="673" t="s">
        <v>49</v>
      </c>
      <c r="D13" s="673" t="s">
        <v>35</v>
      </c>
      <c r="E13" s="673" t="s">
        <v>44</v>
      </c>
      <c r="F13" s="669"/>
      <c r="G13" s="670" t="s">
        <v>38</v>
      </c>
      <c r="H13" s="670"/>
      <c r="I13" s="670" t="s">
        <v>38</v>
      </c>
      <c r="J13" s="670" t="s">
        <v>38</v>
      </c>
      <c r="K13" s="670" t="s">
        <v>38</v>
      </c>
      <c r="L13" s="670" t="s">
        <v>38</v>
      </c>
      <c r="M13" s="670" t="s">
        <v>38</v>
      </c>
      <c r="N13" s="669" t="s">
        <v>37</v>
      </c>
      <c r="O13" s="669" t="s">
        <v>38</v>
      </c>
      <c r="P13" s="670" t="s">
        <v>37</v>
      </c>
      <c r="Q13" s="669" t="s">
        <v>38</v>
      </c>
      <c r="R13" s="669" t="s">
        <v>38</v>
      </c>
      <c r="S13" s="670" t="s">
        <v>37</v>
      </c>
      <c r="T13" s="670" t="s">
        <v>37</v>
      </c>
      <c r="U13" s="669" t="s">
        <v>38</v>
      </c>
      <c r="V13" s="670" t="s">
        <v>38</v>
      </c>
      <c r="W13" s="669" t="s">
        <v>38</v>
      </c>
      <c r="X13" s="671" t="s">
        <v>38</v>
      </c>
    </row>
    <row r="14" spans="2:24" x14ac:dyDescent="0.25">
      <c r="B14" s="667" t="s">
        <v>50</v>
      </c>
      <c r="C14" s="675" t="s">
        <v>40</v>
      </c>
      <c r="D14" s="675" t="s">
        <v>35</v>
      </c>
      <c r="E14" s="675" t="s">
        <v>36</v>
      </c>
      <c r="F14" s="669"/>
      <c r="G14" s="670" t="s">
        <v>37</v>
      </c>
      <c r="H14" s="670"/>
      <c r="I14" s="670" t="s">
        <v>38</v>
      </c>
      <c r="J14" s="670" t="s">
        <v>38</v>
      </c>
      <c r="K14" s="670" t="s">
        <v>38</v>
      </c>
      <c r="L14" s="670" t="s">
        <v>37</v>
      </c>
      <c r="M14" s="670" t="s">
        <v>38</v>
      </c>
      <c r="N14" s="669" t="s">
        <v>38</v>
      </c>
      <c r="O14" s="669" t="s">
        <v>38</v>
      </c>
      <c r="P14" s="670" t="s">
        <v>37</v>
      </c>
      <c r="Q14" s="669" t="s">
        <v>37</v>
      </c>
      <c r="R14" s="669" t="s">
        <v>38</v>
      </c>
      <c r="S14" s="670" t="s">
        <v>37</v>
      </c>
      <c r="T14" s="670" t="s">
        <v>37</v>
      </c>
      <c r="U14" s="669" t="s">
        <v>37</v>
      </c>
      <c r="V14" s="670" t="s">
        <v>38</v>
      </c>
      <c r="W14" s="669" t="s">
        <v>38</v>
      </c>
      <c r="X14" s="671" t="s">
        <v>38</v>
      </c>
    </row>
    <row r="15" spans="2:24" x14ac:dyDescent="0.25">
      <c r="B15" s="667" t="s">
        <v>51</v>
      </c>
      <c r="C15" s="668" t="s">
        <v>47</v>
      </c>
      <c r="D15" s="668" t="s">
        <v>35</v>
      </c>
      <c r="E15" s="668" t="s">
        <v>36</v>
      </c>
      <c r="F15" s="669"/>
      <c r="G15" s="670" t="s">
        <v>37</v>
      </c>
      <c r="H15" s="670"/>
      <c r="I15" s="670" t="s">
        <v>38</v>
      </c>
      <c r="J15" s="670" t="s">
        <v>38</v>
      </c>
      <c r="K15" s="670" t="s">
        <v>38</v>
      </c>
      <c r="L15" s="670" t="s">
        <v>38</v>
      </c>
      <c r="M15" s="670" t="s">
        <v>38</v>
      </c>
      <c r="N15" s="669" t="s">
        <v>38</v>
      </c>
      <c r="O15" s="669" t="s">
        <v>38</v>
      </c>
      <c r="P15" s="670" t="s">
        <v>37</v>
      </c>
      <c r="Q15" s="669" t="s">
        <v>37</v>
      </c>
      <c r="R15" s="669" t="s">
        <v>38</v>
      </c>
      <c r="S15" s="670" t="s">
        <v>37</v>
      </c>
      <c r="T15" s="670" t="s">
        <v>37</v>
      </c>
      <c r="U15" s="669" t="s">
        <v>37</v>
      </c>
      <c r="V15" s="670" t="s">
        <v>38</v>
      </c>
      <c r="W15" s="669" t="s">
        <v>38</v>
      </c>
      <c r="X15" s="671" t="s">
        <v>38</v>
      </c>
    </row>
    <row r="16" spans="2:24" x14ac:dyDescent="0.25">
      <c r="B16" s="667" t="s">
        <v>52</v>
      </c>
      <c r="C16" s="675" t="s">
        <v>47</v>
      </c>
      <c r="D16" s="675" t="s">
        <v>35</v>
      </c>
      <c r="E16" s="675" t="s">
        <v>36</v>
      </c>
      <c r="F16" s="669"/>
      <c r="G16" s="670" t="s">
        <v>37</v>
      </c>
      <c r="H16" s="670"/>
      <c r="I16" s="670" t="s">
        <v>38</v>
      </c>
      <c r="J16" s="670" t="s">
        <v>38</v>
      </c>
      <c r="K16" s="670" t="s">
        <v>38</v>
      </c>
      <c r="L16" s="670" t="s">
        <v>38</v>
      </c>
      <c r="M16" s="670" t="s">
        <v>38</v>
      </c>
      <c r="N16" s="669" t="s">
        <v>38</v>
      </c>
      <c r="O16" s="669" t="s">
        <v>38</v>
      </c>
      <c r="P16" s="670" t="s">
        <v>37</v>
      </c>
      <c r="Q16" s="669" t="s">
        <v>37</v>
      </c>
      <c r="R16" s="669" t="s">
        <v>38</v>
      </c>
      <c r="S16" s="670" t="s">
        <v>37</v>
      </c>
      <c r="T16" s="670" t="s">
        <v>37</v>
      </c>
      <c r="U16" s="669" t="s">
        <v>38</v>
      </c>
      <c r="V16" s="670" t="s">
        <v>38</v>
      </c>
      <c r="W16" s="669" t="s">
        <v>38</v>
      </c>
      <c r="X16" s="671" t="s">
        <v>38</v>
      </c>
    </row>
    <row r="17" spans="2:90" x14ac:dyDescent="0.25">
      <c r="B17" s="667" t="s">
        <v>53</v>
      </c>
      <c r="C17" s="668" t="s">
        <v>40</v>
      </c>
      <c r="D17" s="668" t="s">
        <v>35</v>
      </c>
      <c r="E17" s="668" t="s">
        <v>36</v>
      </c>
      <c r="F17" s="669"/>
      <c r="G17" s="670" t="s">
        <v>37</v>
      </c>
      <c r="H17" s="670"/>
      <c r="I17" s="670" t="s">
        <v>38</v>
      </c>
      <c r="J17" s="670" t="s">
        <v>38</v>
      </c>
      <c r="K17" s="670" t="s">
        <v>38</v>
      </c>
      <c r="L17" s="670" t="s">
        <v>37</v>
      </c>
      <c r="M17" s="670" t="s">
        <v>38</v>
      </c>
      <c r="N17" s="669" t="s">
        <v>38</v>
      </c>
      <c r="O17" s="669" t="s">
        <v>38</v>
      </c>
      <c r="P17" s="670" t="s">
        <v>37</v>
      </c>
      <c r="Q17" s="669" t="s">
        <v>37</v>
      </c>
      <c r="R17" s="669" t="s">
        <v>38</v>
      </c>
      <c r="S17" s="670" t="s">
        <v>37</v>
      </c>
      <c r="T17" s="670" t="s">
        <v>37</v>
      </c>
      <c r="U17" s="669" t="s">
        <v>38</v>
      </c>
      <c r="V17" s="670" t="s">
        <v>38</v>
      </c>
      <c r="W17" s="669" t="s">
        <v>38</v>
      </c>
      <c r="X17" s="671" t="s">
        <v>38</v>
      </c>
    </row>
    <row r="18" spans="2:90" x14ac:dyDescent="0.25">
      <c r="B18" s="667" t="s">
        <v>54</v>
      </c>
      <c r="C18" s="675" t="s">
        <v>42</v>
      </c>
      <c r="D18" s="675" t="s">
        <v>35</v>
      </c>
      <c r="E18" s="675" t="s">
        <v>36</v>
      </c>
      <c r="F18" s="669"/>
      <c r="G18" s="670" t="s">
        <v>38</v>
      </c>
      <c r="H18" s="670"/>
      <c r="I18" s="670" t="s">
        <v>38</v>
      </c>
      <c r="J18" s="670" t="s">
        <v>38</v>
      </c>
      <c r="K18" s="670" t="s">
        <v>38</v>
      </c>
      <c r="L18" s="670" t="s">
        <v>38</v>
      </c>
      <c r="M18" s="670" t="s">
        <v>38</v>
      </c>
      <c r="N18" s="669" t="s">
        <v>37</v>
      </c>
      <c r="O18" s="669" t="s">
        <v>38</v>
      </c>
      <c r="P18" s="670" t="s">
        <v>37</v>
      </c>
      <c r="Q18" s="669" t="s">
        <v>38</v>
      </c>
      <c r="R18" s="669" t="s">
        <v>38</v>
      </c>
      <c r="S18" s="670" t="s">
        <v>38</v>
      </c>
      <c r="T18" s="670" t="s">
        <v>37</v>
      </c>
      <c r="U18" s="669" t="s">
        <v>38</v>
      </c>
      <c r="V18" s="670" t="s">
        <v>38</v>
      </c>
      <c r="W18" s="669" t="s">
        <v>38</v>
      </c>
      <c r="X18" s="671" t="s">
        <v>38</v>
      </c>
    </row>
    <row r="19" spans="2:90" x14ac:dyDescent="0.25">
      <c r="B19" s="672" t="s">
        <v>55</v>
      </c>
      <c r="C19" s="673" t="s">
        <v>49</v>
      </c>
      <c r="D19" s="673" t="s">
        <v>35</v>
      </c>
      <c r="E19" s="673" t="s">
        <v>44</v>
      </c>
      <c r="F19" s="669"/>
      <c r="G19" s="670" t="s">
        <v>38</v>
      </c>
      <c r="H19" s="670"/>
      <c r="I19" s="670" t="s">
        <v>38</v>
      </c>
      <c r="J19" s="670" t="s">
        <v>38</v>
      </c>
      <c r="K19" s="670" t="s">
        <v>38</v>
      </c>
      <c r="L19" s="670" t="s">
        <v>38</v>
      </c>
      <c r="M19" s="670" t="s">
        <v>38</v>
      </c>
      <c r="N19" s="669" t="s">
        <v>37</v>
      </c>
      <c r="O19" s="669" t="s">
        <v>38</v>
      </c>
      <c r="P19" s="670" t="s">
        <v>37</v>
      </c>
      <c r="Q19" s="669" t="s">
        <v>38</v>
      </c>
      <c r="R19" s="669" t="s">
        <v>38</v>
      </c>
      <c r="S19" s="670" t="s">
        <v>37</v>
      </c>
      <c r="T19" s="670" t="s">
        <v>37</v>
      </c>
      <c r="U19" s="669" t="s">
        <v>38</v>
      </c>
      <c r="V19" s="670" t="s">
        <v>38</v>
      </c>
      <c r="W19" s="669" t="s">
        <v>38</v>
      </c>
      <c r="X19" s="671" t="s">
        <v>38</v>
      </c>
    </row>
    <row r="20" spans="2:90" x14ac:dyDescent="0.25">
      <c r="B20" s="667" t="s">
        <v>56</v>
      </c>
      <c r="C20" s="668" t="s">
        <v>57</v>
      </c>
      <c r="D20" s="675" t="s">
        <v>35</v>
      </c>
      <c r="E20" s="675" t="s">
        <v>36</v>
      </c>
      <c r="F20" s="669"/>
      <c r="G20" s="670" t="s">
        <v>38</v>
      </c>
      <c r="H20" s="670"/>
      <c r="I20" s="670" t="s">
        <v>38</v>
      </c>
      <c r="J20" s="670" t="s">
        <v>37</v>
      </c>
      <c r="K20" s="670" t="s">
        <v>38</v>
      </c>
      <c r="L20" s="670" t="s">
        <v>38</v>
      </c>
      <c r="M20" s="670" t="s">
        <v>37</v>
      </c>
      <c r="N20" s="669" t="s">
        <v>37</v>
      </c>
      <c r="O20" s="669" t="s">
        <v>37</v>
      </c>
      <c r="P20" s="670" t="s">
        <v>37</v>
      </c>
      <c r="Q20" s="669" t="s">
        <v>37</v>
      </c>
      <c r="R20" s="669" t="s">
        <v>38</v>
      </c>
      <c r="S20" s="670" t="s">
        <v>37</v>
      </c>
      <c r="T20" s="670" t="s">
        <v>37</v>
      </c>
      <c r="U20" s="669" t="s">
        <v>38</v>
      </c>
      <c r="V20" s="670" t="s">
        <v>38</v>
      </c>
      <c r="W20" s="669" t="s">
        <v>38</v>
      </c>
      <c r="X20" s="671" t="s">
        <v>38</v>
      </c>
    </row>
    <row r="21" spans="2:90" x14ac:dyDescent="0.25">
      <c r="B21" s="667" t="s">
        <v>58</v>
      </c>
      <c r="C21" s="668" t="s">
        <v>42</v>
      </c>
      <c r="D21" s="668" t="s">
        <v>35</v>
      </c>
      <c r="E21" s="668" t="s">
        <v>36</v>
      </c>
      <c r="F21" s="669"/>
      <c r="G21" s="670" t="s">
        <v>38</v>
      </c>
      <c r="H21" s="670"/>
      <c r="I21" s="670" t="s">
        <v>38</v>
      </c>
      <c r="J21" s="670" t="s">
        <v>38</v>
      </c>
      <c r="K21" s="670" t="s">
        <v>38</v>
      </c>
      <c r="L21" s="670" t="s">
        <v>38</v>
      </c>
      <c r="M21" s="670" t="s">
        <v>38</v>
      </c>
      <c r="N21" s="669" t="s">
        <v>37</v>
      </c>
      <c r="O21" s="669" t="s">
        <v>38</v>
      </c>
      <c r="P21" s="670" t="s">
        <v>37</v>
      </c>
      <c r="Q21" s="669" t="s">
        <v>38</v>
      </c>
      <c r="R21" s="669" t="s">
        <v>38</v>
      </c>
      <c r="S21" s="670" t="s">
        <v>38</v>
      </c>
      <c r="T21" s="670" t="s">
        <v>37</v>
      </c>
      <c r="U21" s="669" t="s">
        <v>38</v>
      </c>
      <c r="V21" s="670" t="s">
        <v>38</v>
      </c>
      <c r="W21" s="669" t="s">
        <v>38</v>
      </c>
      <c r="X21" s="671" t="s">
        <v>38</v>
      </c>
    </row>
    <row r="22" spans="2:90" x14ac:dyDescent="0.25">
      <c r="B22" s="672" t="s">
        <v>59</v>
      </c>
      <c r="C22" s="674" t="s">
        <v>47</v>
      </c>
      <c r="D22" s="674" t="s">
        <v>35</v>
      </c>
      <c r="E22" s="674" t="s">
        <v>44</v>
      </c>
      <c r="F22" s="669"/>
      <c r="G22" s="670" t="s">
        <v>38</v>
      </c>
      <c r="H22" s="670"/>
      <c r="I22" s="670" t="s">
        <v>38</v>
      </c>
      <c r="J22" s="670" t="s">
        <v>38</v>
      </c>
      <c r="K22" s="670" t="s">
        <v>38</v>
      </c>
      <c r="L22" s="670" t="s">
        <v>38</v>
      </c>
      <c r="M22" s="670" t="s">
        <v>38</v>
      </c>
      <c r="N22" s="669" t="s">
        <v>37</v>
      </c>
      <c r="O22" s="669" t="s">
        <v>38</v>
      </c>
      <c r="P22" s="670" t="s">
        <v>37</v>
      </c>
      <c r="Q22" s="669" t="s">
        <v>38</v>
      </c>
      <c r="R22" s="669" t="s">
        <v>38</v>
      </c>
      <c r="S22" s="670" t="s">
        <v>37</v>
      </c>
      <c r="T22" s="670" t="s">
        <v>37</v>
      </c>
      <c r="U22" s="669" t="s">
        <v>38</v>
      </c>
      <c r="V22" s="670" t="s">
        <v>38</v>
      </c>
      <c r="W22" s="669" t="s">
        <v>38</v>
      </c>
      <c r="X22" s="671" t="s">
        <v>38</v>
      </c>
    </row>
    <row r="23" spans="2:90" x14ac:dyDescent="0.25">
      <c r="B23" s="667" t="s">
        <v>60</v>
      </c>
      <c r="C23" s="675" t="s">
        <v>49</v>
      </c>
      <c r="D23" s="675" t="s">
        <v>35</v>
      </c>
      <c r="E23" s="675" t="s">
        <v>36</v>
      </c>
      <c r="F23" s="669"/>
      <c r="G23" s="670" t="s">
        <v>37</v>
      </c>
      <c r="H23" s="670"/>
      <c r="I23" s="670" t="s">
        <v>38</v>
      </c>
      <c r="J23" s="670" t="s">
        <v>38</v>
      </c>
      <c r="K23" s="670" t="s">
        <v>38</v>
      </c>
      <c r="L23" s="670" t="s">
        <v>38</v>
      </c>
      <c r="M23" s="670" t="s">
        <v>38</v>
      </c>
      <c r="N23" s="669" t="s">
        <v>37</v>
      </c>
      <c r="O23" s="669" t="s">
        <v>38</v>
      </c>
      <c r="P23" s="670" t="s">
        <v>37</v>
      </c>
      <c r="Q23" s="669" t="s">
        <v>37</v>
      </c>
      <c r="R23" s="669" t="s">
        <v>37</v>
      </c>
      <c r="S23" s="670" t="s">
        <v>37</v>
      </c>
      <c r="T23" s="670" t="s">
        <v>38</v>
      </c>
      <c r="U23" s="669" t="s">
        <v>38</v>
      </c>
      <c r="V23" s="670" t="s">
        <v>38</v>
      </c>
      <c r="W23" s="669" t="s">
        <v>38</v>
      </c>
      <c r="X23" s="671" t="s">
        <v>38</v>
      </c>
    </row>
    <row r="24" spans="2:90" x14ac:dyDescent="0.25">
      <c r="B24" s="667" t="s">
        <v>61</v>
      </c>
      <c r="C24" s="668" t="s">
        <v>62</v>
      </c>
      <c r="D24" s="668" t="s">
        <v>35</v>
      </c>
      <c r="E24" s="668" t="s">
        <v>36</v>
      </c>
      <c r="F24" s="669"/>
      <c r="G24" s="670" t="s">
        <v>37</v>
      </c>
      <c r="H24" s="670"/>
      <c r="I24" s="670" t="s">
        <v>38</v>
      </c>
      <c r="J24" s="670" t="s">
        <v>38</v>
      </c>
      <c r="K24" s="670" t="s">
        <v>38</v>
      </c>
      <c r="L24" s="670" t="s">
        <v>38</v>
      </c>
      <c r="M24" s="670" t="s">
        <v>38</v>
      </c>
      <c r="N24" s="669" t="s">
        <v>38</v>
      </c>
      <c r="O24" s="669" t="s">
        <v>38</v>
      </c>
      <c r="P24" s="670" t="s">
        <v>37</v>
      </c>
      <c r="Q24" s="669" t="s">
        <v>37</v>
      </c>
      <c r="R24" s="669" t="s">
        <v>38</v>
      </c>
      <c r="S24" s="670" t="s">
        <v>37</v>
      </c>
      <c r="T24" s="670" t="s">
        <v>37</v>
      </c>
      <c r="U24" s="669" t="s">
        <v>38</v>
      </c>
      <c r="V24" s="670" t="s">
        <v>38</v>
      </c>
      <c r="W24" s="669" t="s">
        <v>38</v>
      </c>
      <c r="X24" s="671" t="s">
        <v>38</v>
      </c>
    </row>
    <row r="25" spans="2:90" x14ac:dyDescent="0.25">
      <c r="B25" s="672" t="s">
        <v>63</v>
      </c>
      <c r="C25" s="674" t="s">
        <v>62</v>
      </c>
      <c r="D25" s="674" t="s">
        <v>35</v>
      </c>
      <c r="E25" s="674" t="s">
        <v>44</v>
      </c>
      <c r="F25" s="669"/>
      <c r="G25" s="670" t="s">
        <v>38</v>
      </c>
      <c r="H25" s="670"/>
      <c r="I25" s="670" t="s">
        <v>38</v>
      </c>
      <c r="J25" s="670" t="s">
        <v>38</v>
      </c>
      <c r="K25" s="670" t="s">
        <v>38</v>
      </c>
      <c r="L25" s="670" t="s">
        <v>38</v>
      </c>
      <c r="M25" s="670" t="s">
        <v>38</v>
      </c>
      <c r="N25" s="669" t="s">
        <v>37</v>
      </c>
      <c r="O25" s="669" t="s">
        <v>38</v>
      </c>
      <c r="P25" s="670" t="s">
        <v>37</v>
      </c>
      <c r="Q25" s="669" t="s">
        <v>38</v>
      </c>
      <c r="R25" s="669" t="s">
        <v>38</v>
      </c>
      <c r="S25" s="670" t="s">
        <v>37</v>
      </c>
      <c r="T25" s="670" t="s">
        <v>37</v>
      </c>
      <c r="U25" s="669" t="s">
        <v>38</v>
      </c>
      <c r="V25" s="670" t="s">
        <v>38</v>
      </c>
      <c r="W25" s="669" t="s">
        <v>38</v>
      </c>
      <c r="X25" s="671" t="s">
        <v>38</v>
      </c>
    </row>
    <row r="26" spans="2:90" x14ac:dyDescent="0.25">
      <c r="B26" s="672" t="s">
        <v>64</v>
      </c>
      <c r="C26" s="673" t="s">
        <v>40</v>
      </c>
      <c r="D26" s="673" t="s">
        <v>35</v>
      </c>
      <c r="E26" s="673" t="s">
        <v>44</v>
      </c>
      <c r="F26" s="669"/>
      <c r="G26" s="670" t="s">
        <v>38</v>
      </c>
      <c r="H26" s="670"/>
      <c r="I26" s="670" t="s">
        <v>38</v>
      </c>
      <c r="J26" s="670" t="s">
        <v>38</v>
      </c>
      <c r="K26" s="670" t="s">
        <v>38</v>
      </c>
      <c r="L26" s="670" t="s">
        <v>38</v>
      </c>
      <c r="M26" s="670" t="s">
        <v>38</v>
      </c>
      <c r="N26" s="669" t="s">
        <v>37</v>
      </c>
      <c r="O26" s="669" t="s">
        <v>38</v>
      </c>
      <c r="P26" s="670" t="s">
        <v>37</v>
      </c>
      <c r="Q26" s="669" t="s">
        <v>38</v>
      </c>
      <c r="R26" s="669" t="s">
        <v>38</v>
      </c>
      <c r="S26" s="670" t="s">
        <v>37</v>
      </c>
      <c r="T26" s="670" t="s">
        <v>37</v>
      </c>
      <c r="U26" s="669" t="s">
        <v>38</v>
      </c>
      <c r="V26" s="670" t="s">
        <v>38</v>
      </c>
      <c r="W26" s="669" t="s">
        <v>38</v>
      </c>
      <c r="X26" s="671" t="s">
        <v>38</v>
      </c>
    </row>
    <row r="27" spans="2:90" ht="15.75" thickBot="1" x14ac:dyDescent="0.3">
      <c r="B27" s="676" t="s">
        <v>65</v>
      </c>
      <c r="C27" s="677" t="s">
        <v>42</v>
      </c>
      <c r="D27" s="677" t="s">
        <v>35</v>
      </c>
      <c r="E27" s="677" t="s">
        <v>36</v>
      </c>
      <c r="F27" s="678"/>
      <c r="G27" s="679" t="s">
        <v>38</v>
      </c>
      <c r="H27" s="679"/>
      <c r="I27" s="679" t="s">
        <v>38</v>
      </c>
      <c r="J27" s="679" t="s">
        <v>38</v>
      </c>
      <c r="K27" s="679" t="s">
        <v>38</v>
      </c>
      <c r="L27" s="679" t="s">
        <v>38</v>
      </c>
      <c r="M27" s="679" t="s">
        <v>38</v>
      </c>
      <c r="N27" s="678" t="s">
        <v>37</v>
      </c>
      <c r="O27" s="678" t="s">
        <v>38</v>
      </c>
      <c r="P27" s="679" t="s">
        <v>37</v>
      </c>
      <c r="Q27" s="678" t="s">
        <v>38</v>
      </c>
      <c r="R27" s="678" t="s">
        <v>38</v>
      </c>
      <c r="S27" s="679" t="s">
        <v>38</v>
      </c>
      <c r="T27" s="679" t="s">
        <v>37</v>
      </c>
      <c r="U27" s="678" t="s">
        <v>38</v>
      </c>
      <c r="V27" s="679" t="s">
        <v>38</v>
      </c>
      <c r="W27" s="678" t="s">
        <v>38</v>
      </c>
      <c r="X27" s="680" t="s">
        <v>38</v>
      </c>
    </row>
    <row r="30" spans="2:90" x14ac:dyDescent="0.25">
      <c r="B30" s="681" t="s">
        <v>787</v>
      </c>
    </row>
    <row r="31" spans="2:90" x14ac:dyDescent="0.25">
      <c r="B31" s="682" t="s">
        <v>901</v>
      </c>
    </row>
    <row r="32" spans="2:90" x14ac:dyDescent="0.25">
      <c r="AL32" s="1539"/>
      <c r="AM32" s="1539"/>
      <c r="AN32" s="1539"/>
      <c r="AO32" s="1539"/>
      <c r="AP32" s="1539"/>
      <c r="AQ32" s="1539"/>
      <c r="AR32" s="1539"/>
      <c r="AS32" s="1539"/>
      <c r="AT32" s="1539"/>
      <c r="AU32" s="1539"/>
      <c r="AV32" s="1539"/>
      <c r="AW32" s="1539"/>
      <c r="AX32" s="1539"/>
      <c r="AY32" s="1539"/>
      <c r="AZ32" s="1539"/>
      <c r="BA32" s="1539"/>
      <c r="BB32" s="1539"/>
      <c r="BC32" s="1539"/>
      <c r="BD32" s="1539"/>
      <c r="BE32" s="1539"/>
      <c r="BF32" s="1539"/>
      <c r="BG32" s="1539"/>
      <c r="BQ32" s="1539"/>
      <c r="BR32" s="1539"/>
      <c r="BS32" s="1539"/>
      <c r="BT32" s="1539"/>
      <c r="BU32" s="1539"/>
      <c r="BV32" s="1539"/>
      <c r="BW32" s="1539"/>
      <c r="BX32" s="1539"/>
      <c r="BY32" s="1539"/>
      <c r="BZ32" s="1539"/>
      <c r="CA32" s="1539"/>
      <c r="CB32" s="1539"/>
      <c r="CC32" s="1539"/>
      <c r="CD32" s="1539"/>
      <c r="CE32" s="1539"/>
      <c r="CF32" s="1539"/>
      <c r="CG32" s="1539"/>
      <c r="CH32" s="1539"/>
      <c r="CI32" s="1539"/>
      <c r="CJ32" s="1539"/>
      <c r="CK32" s="1539"/>
      <c r="CL32" s="1539"/>
    </row>
    <row r="33" spans="2:90" x14ac:dyDescent="0.25">
      <c r="B33" s="683" t="s">
        <v>902</v>
      </c>
      <c r="AL33" s="1539"/>
      <c r="AM33" s="1539"/>
      <c r="AN33" s="1539"/>
      <c r="AO33" s="1539"/>
      <c r="AP33" s="1539"/>
      <c r="AQ33" s="1539"/>
      <c r="AR33" s="1539"/>
      <c r="AS33" s="1539"/>
      <c r="AT33" s="1539"/>
      <c r="AU33" s="1539"/>
      <c r="AV33" s="1539"/>
      <c r="AW33" s="1539"/>
      <c r="AX33" s="1539"/>
      <c r="AY33" s="1539"/>
      <c r="AZ33" s="1539"/>
      <c r="BA33" s="1539"/>
      <c r="BB33" s="1539"/>
      <c r="BC33" s="1539"/>
      <c r="BD33" s="1539"/>
      <c r="BE33" s="1539"/>
      <c r="BF33" s="1539"/>
      <c r="BG33" s="1539"/>
      <c r="BQ33" s="1539"/>
      <c r="BR33" s="1539"/>
      <c r="BS33" s="1539"/>
      <c r="BT33" s="1539"/>
      <c r="BU33" s="1539"/>
      <c r="BV33" s="1539"/>
      <c r="BW33" s="1539"/>
      <c r="BX33" s="1539"/>
      <c r="BY33" s="1539"/>
      <c r="BZ33" s="1539"/>
      <c r="CA33" s="1539"/>
      <c r="CB33" s="1539"/>
      <c r="CC33" s="1539"/>
      <c r="CD33" s="1539"/>
      <c r="CE33" s="1539"/>
      <c r="CF33" s="1539"/>
      <c r="CG33" s="1539"/>
      <c r="CH33" s="1539"/>
      <c r="CI33" s="1539"/>
      <c r="CJ33" s="1539"/>
      <c r="CK33" s="1539"/>
      <c r="CL33" s="1539"/>
    </row>
    <row r="34" spans="2:90" x14ac:dyDescent="0.25">
      <c r="B34" s="91" t="s">
        <v>903</v>
      </c>
      <c r="C34" s="683"/>
      <c r="D34" s="91"/>
      <c r="E34" s="91"/>
      <c r="F34" s="683" t="s">
        <v>904</v>
      </c>
      <c r="G34" s="683"/>
      <c r="AL34" s="1539"/>
      <c r="AM34" s="1539"/>
      <c r="AN34" s="1539"/>
      <c r="AO34" s="1539"/>
      <c r="AP34" s="1539"/>
      <c r="AQ34" s="1539"/>
      <c r="AR34" s="1539"/>
      <c r="AS34" s="1539"/>
      <c r="AT34" s="1539"/>
      <c r="AU34" s="1539"/>
      <c r="AV34" s="1539"/>
      <c r="AW34" s="1539"/>
      <c r="AX34" s="1539"/>
      <c r="AY34" s="1539"/>
      <c r="AZ34" s="1539"/>
      <c r="BA34" s="1539"/>
      <c r="BB34" s="1539"/>
      <c r="BC34" s="1539"/>
      <c r="BD34" s="1539"/>
      <c r="BE34" s="1539"/>
      <c r="BF34" s="1539"/>
      <c r="BG34" s="1539"/>
      <c r="BQ34" s="1539"/>
      <c r="BR34" s="1539"/>
      <c r="BS34" s="1539"/>
      <c r="BT34" s="1539"/>
      <c r="BU34" s="1539"/>
      <c r="BV34" s="1539"/>
      <c r="BW34" s="1539"/>
      <c r="BX34" s="1539"/>
      <c r="BY34" s="1539"/>
      <c r="BZ34" s="1539"/>
      <c r="CA34" s="1539"/>
      <c r="CB34" s="1539"/>
      <c r="CC34" s="1539"/>
      <c r="CD34" s="1539"/>
      <c r="CE34" s="1539"/>
      <c r="CF34" s="1539"/>
      <c r="CG34" s="1539"/>
      <c r="CH34" s="1539"/>
      <c r="CI34" s="1539"/>
      <c r="CJ34" s="1539"/>
      <c r="CK34" s="1539"/>
      <c r="CL34" s="1539"/>
    </row>
    <row r="35" spans="2:90" x14ac:dyDescent="0.25">
      <c r="B35" s="117"/>
      <c r="F35" s="437"/>
    </row>
    <row r="36" spans="2:90" x14ac:dyDescent="0.25">
      <c r="B36" s="117" t="s">
        <v>905</v>
      </c>
      <c r="F36" s="117" t="s">
        <v>906</v>
      </c>
    </row>
    <row r="37" spans="2:90" x14ac:dyDescent="0.25">
      <c r="B37" s="117" t="s">
        <v>907</v>
      </c>
      <c r="F37" s="117" t="s">
        <v>908</v>
      </c>
    </row>
    <row r="38" spans="2:90" x14ac:dyDescent="0.25">
      <c r="B38" s="117" t="s">
        <v>909</v>
      </c>
      <c r="F38" s="117" t="s">
        <v>910</v>
      </c>
    </row>
    <row r="39" spans="2:90" x14ac:dyDescent="0.25">
      <c r="B39" s="117" t="s">
        <v>911</v>
      </c>
      <c r="F39" s="437" t="s">
        <v>912</v>
      </c>
    </row>
    <row r="40" spans="2:90" x14ac:dyDescent="0.25">
      <c r="B40" s="117" t="s">
        <v>913</v>
      </c>
      <c r="F40" s="117" t="s">
        <v>914</v>
      </c>
    </row>
    <row r="41" spans="2:90" x14ac:dyDescent="0.25">
      <c r="B41" s="684" t="s">
        <v>915</v>
      </c>
      <c r="F41" s="684" t="s">
        <v>916</v>
      </c>
    </row>
    <row r="42" spans="2:90" x14ac:dyDescent="0.25">
      <c r="B42" s="117"/>
    </row>
    <row r="44" spans="2:90" x14ac:dyDescent="0.25">
      <c r="B44" s="437" t="s">
        <v>859</v>
      </c>
    </row>
    <row r="45" spans="2:90" x14ac:dyDescent="0.25">
      <c r="B45" s="127" t="s">
        <v>917</v>
      </c>
    </row>
    <row r="46" spans="2:90" x14ac:dyDescent="0.25">
      <c r="B46" s="127" t="s">
        <v>918</v>
      </c>
    </row>
    <row r="49" spans="2:3" ht="21" thickBot="1" x14ac:dyDescent="0.3">
      <c r="B49" s="83" t="s">
        <v>235</v>
      </c>
      <c r="C49" s="488"/>
    </row>
    <row r="50" spans="2:3" ht="16.5" thickBot="1" x14ac:dyDescent="0.3">
      <c r="B50" s="84"/>
      <c r="C50" s="488" t="s">
        <v>919</v>
      </c>
    </row>
    <row r="51" spans="2:3" x14ac:dyDescent="0.25">
      <c r="B51" s="685"/>
      <c r="C51" s="488" t="s">
        <v>920</v>
      </c>
    </row>
    <row r="52" spans="2:3" x14ac:dyDescent="0.25">
      <c r="B52" s="86"/>
      <c r="C52" s="488" t="s">
        <v>921</v>
      </c>
    </row>
    <row r="53" spans="2:3" x14ac:dyDescent="0.25">
      <c r="B53" s="686"/>
      <c r="C53" s="488" t="s">
        <v>922</v>
      </c>
    </row>
    <row r="54" spans="2:3" x14ac:dyDescent="0.25">
      <c r="B54" s="687"/>
      <c r="C54" s="488" t="s">
        <v>923</v>
      </c>
    </row>
    <row r="55" spans="2:3" x14ac:dyDescent="0.25">
      <c r="B55" s="87"/>
      <c r="C55" s="488" t="s">
        <v>924</v>
      </c>
    </row>
    <row r="56" spans="2:3" x14ac:dyDescent="0.25">
      <c r="B56" s="688"/>
      <c r="C56" s="488" t="s">
        <v>925</v>
      </c>
    </row>
    <row r="57" spans="2:3" x14ac:dyDescent="0.25">
      <c r="B57" s="88"/>
      <c r="C57" s="488" t="s">
        <v>926</v>
      </c>
    </row>
    <row r="58" spans="2:3" x14ac:dyDescent="0.25">
      <c r="B58" s="689"/>
      <c r="C58" s="521" t="s">
        <v>927</v>
      </c>
    </row>
    <row r="59" spans="2:3" x14ac:dyDescent="0.25">
      <c r="B59" s="690"/>
      <c r="C59" s="488" t="s">
        <v>928</v>
      </c>
    </row>
    <row r="60" spans="2:3" x14ac:dyDescent="0.25">
      <c r="B60" s="691"/>
      <c r="C60" s="488" t="s">
        <v>929</v>
      </c>
    </row>
    <row r="61" spans="2:3" ht="15.75" thickBot="1" x14ac:dyDescent="0.3">
      <c r="B61" s="692"/>
      <c r="C61" s="585" t="s">
        <v>930</v>
      </c>
    </row>
    <row r="62" spans="2:3" x14ac:dyDescent="0.25">
      <c r="B62" s="693"/>
      <c r="C62" s="521" t="s">
        <v>931</v>
      </c>
    </row>
    <row r="63" spans="2:3" ht="15.75" thickBot="1" x14ac:dyDescent="0.3">
      <c r="B63" s="445"/>
      <c r="C63" s="585" t="s">
        <v>932</v>
      </c>
    </row>
    <row r="64" spans="2:3" ht="15.75" thickBot="1" x14ac:dyDescent="0.3">
      <c r="B64" s="446"/>
      <c r="C64" s="585" t="s">
        <v>933</v>
      </c>
    </row>
    <row r="65" spans="2:3" x14ac:dyDescent="0.25">
      <c r="B65" s="694"/>
      <c r="C65" s="521" t="s">
        <v>934</v>
      </c>
    </row>
    <row r="66" spans="2:3" ht="15.75" thickBot="1" x14ac:dyDescent="0.3">
      <c r="B66" s="460"/>
      <c r="C66" s="521" t="s">
        <v>935</v>
      </c>
    </row>
    <row r="67" spans="2:3" ht="15.75" thickBot="1" x14ac:dyDescent="0.3">
      <c r="B67" s="461"/>
      <c r="C67" s="521" t="s">
        <v>936</v>
      </c>
    </row>
    <row r="126" spans="3:3" x14ac:dyDescent="0.25">
      <c r="C126" s="90" t="s">
        <v>659</v>
      </c>
    </row>
    <row r="127" spans="3:3" x14ac:dyDescent="0.25">
      <c r="C127" s="90">
        <f>IFERROR(IF(dms_Model="ARR",(MAX(0,dms_0608_LastRow-dms_0608_OffsetRows)),"not an ARR"),"0")</f>
        <v>0</v>
      </c>
    </row>
  </sheetData>
  <mergeCells count="7">
    <mergeCell ref="AL34:BG34"/>
    <mergeCell ref="BQ34:CL34"/>
    <mergeCell ref="B4:V4"/>
    <mergeCell ref="AL32:BG32"/>
    <mergeCell ref="BQ32:CL32"/>
    <mergeCell ref="AL33:BG33"/>
    <mergeCell ref="BQ33:CL33"/>
  </mergeCells>
  <conditionalFormatting sqref="F7:X27">
    <cfRule type="cellIs" dxfId="77" priority="1" operator="equal">
      <formula>"Y"</formula>
    </cfRule>
  </conditionalFormatting>
  <pageMargins left="0.7" right="0.7" top="0.75" bottom="0.75" header="0.3" footer="0.3"/>
  <pageSetup paperSize="9" orientation="portrait" r:id="rId1"/>
  <customProperties>
    <customPr name="_pios_id" r:id="rId2"/>
    <customPr name="EpmWorksheetKeyString_GUID" r:id="rId3"/>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9389629810485"/>
  </sheetPr>
  <dimension ref="A1:L196"/>
  <sheetViews>
    <sheetView showGridLines="0" zoomScale="85" zoomScaleNormal="85" workbookViewId="0">
      <selection activeCell="A2" sqref="A2"/>
    </sheetView>
  </sheetViews>
  <sheetFormatPr defaultColWidth="9.140625" defaultRowHeight="15" outlineLevelRow="2" x14ac:dyDescent="0.25"/>
  <cols>
    <col min="1" max="1" width="22.7109375" customWidth="1"/>
    <col min="2" max="2" width="65.140625" customWidth="1"/>
    <col min="3" max="8" width="20.7109375" customWidth="1"/>
    <col min="9" max="9" width="20.7109375" style="1294" customWidth="1"/>
    <col min="10" max="11" width="20.7109375" customWidth="1"/>
  </cols>
  <sheetData>
    <row r="1" spans="1:12" ht="30" customHeight="1" x14ac:dyDescent="0.25">
      <c r="B1" s="103" t="str">
        <f>IF(dms_MultiYear_ResponseFlag="Yes","REGULATORY REPORTING STATEMENT - HISTORICAL INFORMATION",INDEX(dms_Worksheet_List,MATCH(dms_Model,dms_Model_List)))</f>
        <v>REGULATORY REPORTING STATEMENT - HISTORICAL INFORMATION</v>
      </c>
      <c r="C1" s="76"/>
      <c r="D1" s="76"/>
      <c r="E1" s="76"/>
      <c r="F1" s="76"/>
      <c r="G1" s="76"/>
      <c r="H1" s="76"/>
      <c r="I1" s="76"/>
      <c r="J1" s="76"/>
      <c r="K1" s="76"/>
    </row>
    <row r="2" spans="1:12" ht="30" customHeight="1" x14ac:dyDescent="0.25">
      <c r="B2" s="103" t="str">
        <f>INDEX(dms_TradingNameFull_List,MATCH(dms_TradingName,dms_TradingName_List))</f>
        <v>AusNet Gas Services</v>
      </c>
      <c r="C2" s="76"/>
      <c r="D2" s="76"/>
      <c r="E2" s="76"/>
      <c r="F2" s="76"/>
      <c r="G2" s="76"/>
      <c r="H2" s="76"/>
      <c r="I2" s="76"/>
      <c r="J2" s="76"/>
      <c r="K2" s="76"/>
    </row>
    <row r="3" spans="1:12" ht="30" customHeight="1" x14ac:dyDescent="0.25">
      <c r="B3" s="103" t="str">
        <f>CONCATENATE(CRY," to ",dms_MultiYear_FinalYear_Result)</f>
        <v>2011 to 2019</v>
      </c>
      <c r="C3" s="76"/>
      <c r="D3" s="76"/>
      <c r="E3" s="76"/>
      <c r="F3" s="76"/>
      <c r="G3" s="76"/>
      <c r="H3" s="76"/>
      <c r="I3" s="76"/>
      <c r="J3" s="76"/>
      <c r="K3" s="76"/>
    </row>
    <row r="4" spans="1:12" ht="30" customHeight="1" x14ac:dyDescent="0.25">
      <c r="B4" s="83" t="s">
        <v>644</v>
      </c>
      <c r="C4" s="323"/>
      <c r="D4" s="323"/>
      <c r="E4" s="323"/>
      <c r="F4" s="323"/>
      <c r="G4" s="323"/>
      <c r="H4" s="323"/>
      <c r="I4" s="323"/>
      <c r="J4" s="323"/>
      <c r="K4" s="323"/>
    </row>
    <row r="6" spans="1:12" ht="15.75" thickBot="1" x14ac:dyDescent="0.3"/>
    <row r="7" spans="1:12" s="306" customFormat="1" ht="27.95" customHeight="1" thickBot="1" x14ac:dyDescent="0.3">
      <c r="A7" s="307"/>
      <c r="B7" s="84" t="s">
        <v>839</v>
      </c>
      <c r="C7" s="84"/>
      <c r="D7" s="84"/>
      <c r="E7" s="84"/>
      <c r="F7" s="84"/>
      <c r="G7" s="84"/>
      <c r="H7" s="84"/>
      <c r="I7" s="84"/>
      <c r="J7" s="84"/>
      <c r="K7" s="84"/>
      <c r="L7"/>
    </row>
    <row r="8" spans="1:12" s="306" customFormat="1" ht="26.1" customHeight="1" outlineLevel="1" thickBot="1" x14ac:dyDescent="0.3">
      <c r="A8" s="307"/>
      <c r="B8" s="308" t="s">
        <v>1208</v>
      </c>
      <c r="C8" s="309"/>
      <c r="D8" s="309"/>
      <c r="E8" s="309"/>
      <c r="F8" s="309"/>
      <c r="G8" s="309"/>
      <c r="H8" s="309"/>
      <c r="I8" s="309"/>
      <c r="J8" s="309"/>
      <c r="K8" s="310"/>
      <c r="L8"/>
    </row>
    <row r="9" spans="1:12" s="401" customFormat="1" ht="15" customHeight="1" outlineLevel="2" x14ac:dyDescent="0.25">
      <c r="A9" s="314"/>
      <c r="B9" s="314"/>
      <c r="C9" s="1659" t="s">
        <v>637</v>
      </c>
      <c r="D9" s="1659"/>
      <c r="E9" s="1659"/>
      <c r="F9" s="1659"/>
      <c r="G9" s="1659"/>
      <c r="H9" s="1659"/>
      <c r="I9" s="1659"/>
      <c r="J9" s="1659"/>
      <c r="K9" s="1660"/>
    </row>
    <row r="10" spans="1:12" s="317" customFormat="1" ht="16.5" customHeight="1" outlineLevel="2" x14ac:dyDescent="0.25">
      <c r="A10" s="316"/>
      <c r="B10" s="314"/>
      <c r="C10" s="1661" t="s">
        <v>638</v>
      </c>
      <c r="D10" s="1661"/>
      <c r="E10" s="1661"/>
      <c r="F10" s="1661"/>
      <c r="G10" s="1661"/>
      <c r="H10" s="1661"/>
      <c r="I10" s="1661"/>
      <c r="J10" s="1661"/>
      <c r="K10" s="1662"/>
    </row>
    <row r="11" spans="1:12" s="319" customFormat="1" ht="17.25" customHeight="1" outlineLevel="2" thickBot="1" x14ac:dyDescent="0.3">
      <c r="A11" s="318"/>
      <c r="B11" s="9" t="s">
        <v>641</v>
      </c>
      <c r="C11" s="444">
        <f>CRY</f>
        <v>2011</v>
      </c>
      <c r="D11" s="445" t="str">
        <f ca="1">PRCP_y2</f>
        <v>2002</v>
      </c>
      <c r="E11" s="445" t="str">
        <f ca="1">PRCP_y3</f>
        <v>2003</v>
      </c>
      <c r="F11" s="445" t="str">
        <f ca="1">PRCP_y4</f>
        <v>2004</v>
      </c>
      <c r="G11" s="445" t="str">
        <f ca="1">PRCP_y5</f>
        <v>2005</v>
      </c>
      <c r="H11" s="446" t="str">
        <f ca="1">CRCP_y1</f>
        <v>2006</v>
      </c>
      <c r="I11" s="446" t="str">
        <f ca="1">CRCP_y2</f>
        <v>2007</v>
      </c>
      <c r="J11" s="446" t="str">
        <f ca="1">CRCP_y3</f>
        <v>2008</v>
      </c>
      <c r="K11" s="447" t="str">
        <f ca="1">CRCP_y4</f>
        <v>2009</v>
      </c>
    </row>
    <row r="12" spans="1:12" outlineLevel="2" x14ac:dyDescent="0.25">
      <c r="A12" s="320"/>
      <c r="B12" s="641" t="s">
        <v>1319</v>
      </c>
      <c r="C12" s="438">
        <v>661561.21105829184</v>
      </c>
      <c r="D12" s="361">
        <v>536590.83293460798</v>
      </c>
      <c r="E12" s="361">
        <v>2175569.8034455199</v>
      </c>
      <c r="F12" s="361">
        <v>20455264.072266102</v>
      </c>
      <c r="G12" s="362">
        <v>654512.73101981997</v>
      </c>
      <c r="H12" s="363">
        <v>-321.64710146254157</v>
      </c>
      <c r="I12" s="363">
        <v>0</v>
      </c>
      <c r="J12" s="361">
        <v>0</v>
      </c>
      <c r="K12" s="364">
        <v>-4642.8719999999976</v>
      </c>
    </row>
    <row r="13" spans="1:12" outlineLevel="2" x14ac:dyDescent="0.25">
      <c r="A13" s="320"/>
      <c r="B13" s="579" t="s">
        <v>1320</v>
      </c>
      <c r="C13" s="640">
        <v>38031348.673939914</v>
      </c>
      <c r="D13" s="366">
        <v>37961835.07093437</v>
      </c>
      <c r="E13" s="366">
        <v>32432008.329372235</v>
      </c>
      <c r="F13" s="366">
        <v>28519116.574910458</v>
      </c>
      <c r="G13" s="367">
        <v>33957029.434558831</v>
      </c>
      <c r="H13" s="368">
        <v>21136737.809208412</v>
      </c>
      <c r="I13" s="368">
        <v>34056331.729233995</v>
      </c>
      <c r="J13" s="366">
        <v>46190445.175999992</v>
      </c>
      <c r="K13" s="369">
        <v>41968655.756999999</v>
      </c>
    </row>
    <row r="14" spans="1:12" outlineLevel="2" x14ac:dyDescent="0.25">
      <c r="A14" s="320"/>
      <c r="B14" s="579" t="s">
        <v>1321</v>
      </c>
      <c r="C14" s="640">
        <v>22439495.214896891</v>
      </c>
      <c r="D14" s="366">
        <v>26839426.198735911</v>
      </c>
      <c r="E14" s="366">
        <v>24526103.180260744</v>
      </c>
      <c r="F14" s="366">
        <v>37636331.164538398</v>
      </c>
      <c r="G14" s="367">
        <v>37531124.408232681</v>
      </c>
      <c r="H14" s="1395">
        <v>42476782.230560064</v>
      </c>
      <c r="I14" s="1395">
        <v>39114218.290835619</v>
      </c>
      <c r="J14" s="1393">
        <v>25726829.852000002</v>
      </c>
      <c r="K14" s="369">
        <v>35858702.818000004</v>
      </c>
    </row>
    <row r="15" spans="1:12" outlineLevel="2" x14ac:dyDescent="0.25">
      <c r="A15" s="320"/>
      <c r="B15" s="579" t="s">
        <v>1322</v>
      </c>
      <c r="C15" s="640">
        <v>756570.65944412223</v>
      </c>
      <c r="D15" s="366">
        <v>380935.07755989151</v>
      </c>
      <c r="E15" s="366">
        <v>611480.09984580765</v>
      </c>
      <c r="F15" s="366">
        <v>355239.83</v>
      </c>
      <c r="G15" s="367">
        <v>210364.52005483641</v>
      </c>
      <c r="H15" s="1395">
        <v>365308.82343206048</v>
      </c>
      <c r="I15" s="1395">
        <v>148033.16999999998</v>
      </c>
      <c r="J15" s="1393">
        <v>99938.95</v>
      </c>
      <c r="K15" s="369">
        <v>188887.52000000002</v>
      </c>
    </row>
    <row r="16" spans="1:12" outlineLevel="2" x14ac:dyDescent="0.25">
      <c r="A16" s="320"/>
      <c r="B16" s="579" t="s">
        <v>1323</v>
      </c>
      <c r="C16" s="640">
        <v>1182638.2567235383</v>
      </c>
      <c r="D16" s="366">
        <v>2705572.6536047934</v>
      </c>
      <c r="E16" s="366">
        <v>3318317.232502799</v>
      </c>
      <c r="F16" s="366">
        <v>6168779.6072363388</v>
      </c>
      <c r="G16" s="367">
        <v>4088457.4939204552</v>
      </c>
      <c r="H16" s="1395">
        <v>2201259.5096104518</v>
      </c>
      <c r="I16" s="1395">
        <v>4069592.8680000007</v>
      </c>
      <c r="J16" s="1393">
        <v>1704252.9819999996</v>
      </c>
      <c r="K16" s="369">
        <v>609532.87199999997</v>
      </c>
    </row>
    <row r="17" spans="1:11" s="1260" customFormat="1" outlineLevel="2" x14ac:dyDescent="0.25">
      <c r="A17" s="518"/>
      <c r="B17" s="579" t="s">
        <v>704</v>
      </c>
      <c r="C17" s="640">
        <v>7311178.4821559843</v>
      </c>
      <c r="D17" s="366">
        <v>8654636.6770823691</v>
      </c>
      <c r="E17" s="366">
        <v>12211483.946230289</v>
      </c>
      <c r="F17" s="366">
        <v>10980828.659815803</v>
      </c>
      <c r="G17" s="367">
        <v>8874559.8626749944</v>
      </c>
      <c r="H17" s="1395">
        <v>13809060.65530166</v>
      </c>
      <c r="I17" s="1395">
        <v>11455506.401714882</v>
      </c>
      <c r="J17" s="1393">
        <v>15700990.939999999</v>
      </c>
      <c r="K17" s="369">
        <v>15575037.445000002</v>
      </c>
    </row>
    <row r="18" spans="1:11" s="1260" customFormat="1" outlineLevel="2" x14ac:dyDescent="0.25">
      <c r="A18" s="518"/>
      <c r="B18" s="579" t="s">
        <v>1324</v>
      </c>
      <c r="C18" s="640">
        <v>727918.42859096476</v>
      </c>
      <c r="D18" s="366">
        <v>324355.36649957829</v>
      </c>
      <c r="E18" s="366">
        <v>671987.16679383838</v>
      </c>
      <c r="F18" s="366">
        <v>291750.14123288204</v>
      </c>
      <c r="G18" s="367">
        <v>483907.70276255161</v>
      </c>
      <c r="H18" s="1395">
        <v>442657.32867113774</v>
      </c>
      <c r="I18" s="1395">
        <v>293255.20999999996</v>
      </c>
      <c r="J18" s="1393">
        <v>331916.12000000005</v>
      </c>
      <c r="K18" s="369">
        <v>399939.05</v>
      </c>
    </row>
    <row r="19" spans="1:11" s="1260" customFormat="1" outlineLevel="2" x14ac:dyDescent="0.25">
      <c r="A19" s="518"/>
      <c r="B19" s="579" t="s">
        <v>1325</v>
      </c>
      <c r="C19" s="640">
        <v>10113057.614042563</v>
      </c>
      <c r="D19" s="366">
        <v>14494830.708255729</v>
      </c>
      <c r="E19" s="366">
        <v>16019970.331897907</v>
      </c>
      <c r="F19" s="366">
        <v>13233906.611243596</v>
      </c>
      <c r="G19" s="367">
        <v>8785473.7259523179</v>
      </c>
      <c r="H19" s="1395">
        <v>3421870.1861348976</v>
      </c>
      <c r="I19" s="1395">
        <v>5542975.5500000017</v>
      </c>
      <c r="J19" s="1393">
        <v>8791547.7100000009</v>
      </c>
      <c r="K19" s="369">
        <v>7658969.5200000005</v>
      </c>
    </row>
    <row r="20" spans="1:11" s="1260" customFormat="1" outlineLevel="2" x14ac:dyDescent="0.25">
      <c r="A20" s="518"/>
      <c r="B20" s="579" t="s">
        <v>1326</v>
      </c>
      <c r="C20" s="640">
        <v>419482.41393028834</v>
      </c>
      <c r="D20" s="366">
        <v>247307.11483951868</v>
      </c>
      <c r="E20" s="366">
        <v>471996.51614536881</v>
      </c>
      <c r="F20" s="366">
        <v>52350.210103999998</v>
      </c>
      <c r="G20" s="367">
        <v>383577.43737627892</v>
      </c>
      <c r="H20" s="1395">
        <v>574637.44731194584</v>
      </c>
      <c r="I20" s="1395">
        <v>1265625.5200000003</v>
      </c>
      <c r="J20" s="1393">
        <v>746154.74</v>
      </c>
      <c r="K20" s="369">
        <v>262842.99</v>
      </c>
    </row>
    <row r="21" spans="1:11" s="1260" customFormat="1" ht="25.5" outlineLevel="2" x14ac:dyDescent="0.25">
      <c r="A21" s="518"/>
      <c r="B21" s="579" t="s">
        <v>1344</v>
      </c>
      <c r="C21" s="640">
        <v>0</v>
      </c>
      <c r="D21" s="366">
        <v>0</v>
      </c>
      <c r="E21" s="366">
        <v>0</v>
      </c>
      <c r="F21" s="366">
        <v>0</v>
      </c>
      <c r="G21" s="367">
        <v>0</v>
      </c>
      <c r="H21" s="368">
        <v>0</v>
      </c>
      <c r="I21" s="368">
        <v>0</v>
      </c>
      <c r="J21" s="366">
        <v>0</v>
      </c>
      <c r="K21" s="369">
        <v>8601645.3350000009</v>
      </c>
    </row>
    <row r="22" spans="1:11" s="1260" customFormat="1" outlineLevel="2" x14ac:dyDescent="0.25">
      <c r="A22" s="518"/>
      <c r="B22" s="579" t="s">
        <v>1351</v>
      </c>
      <c r="C22" s="640">
        <v>0</v>
      </c>
      <c r="D22" s="366">
        <v>0</v>
      </c>
      <c r="E22" s="366">
        <v>0</v>
      </c>
      <c r="F22" s="366">
        <v>0</v>
      </c>
      <c r="G22" s="367">
        <v>0</v>
      </c>
      <c r="H22" s="368">
        <v>0</v>
      </c>
      <c r="I22" s="368">
        <v>0</v>
      </c>
      <c r="J22" s="366">
        <v>0</v>
      </c>
      <c r="K22" s="369">
        <v>0</v>
      </c>
    </row>
    <row r="23" spans="1:11" outlineLevel="2" x14ac:dyDescent="0.25">
      <c r="A23" s="320"/>
      <c r="B23" s="579" t="s">
        <v>1360</v>
      </c>
      <c r="C23" s="640">
        <v>0</v>
      </c>
      <c r="D23" s="366">
        <v>0</v>
      </c>
      <c r="E23" s="366">
        <v>0</v>
      </c>
      <c r="F23" s="366">
        <v>0</v>
      </c>
      <c r="G23" s="367">
        <v>0</v>
      </c>
      <c r="H23" s="368">
        <v>0</v>
      </c>
      <c r="I23" s="368">
        <v>0</v>
      </c>
      <c r="J23" s="366">
        <v>0</v>
      </c>
      <c r="K23" s="369">
        <v>0</v>
      </c>
    </row>
    <row r="24" spans="1:11" outlineLevel="2" x14ac:dyDescent="0.25">
      <c r="A24" s="320"/>
      <c r="B24" s="579"/>
      <c r="C24" s="640"/>
      <c r="D24" s="366"/>
      <c r="E24" s="366"/>
      <c r="F24" s="366"/>
      <c r="G24" s="367"/>
      <c r="H24" s="368"/>
      <c r="I24" s="368"/>
      <c r="J24" s="366"/>
      <c r="K24" s="369"/>
    </row>
    <row r="25" spans="1:11" outlineLevel="2" x14ac:dyDescent="0.25">
      <c r="A25" s="320"/>
      <c r="B25" s="579"/>
      <c r="C25" s="640"/>
      <c r="D25" s="366"/>
      <c r="E25" s="366"/>
      <c r="F25" s="366"/>
      <c r="G25" s="367"/>
      <c r="H25" s="368"/>
      <c r="I25" s="368"/>
      <c r="J25" s="366"/>
      <c r="K25" s="369"/>
    </row>
    <row r="26" spans="1:11" outlineLevel="2" x14ac:dyDescent="0.25">
      <c r="A26" s="320"/>
      <c r="B26" s="579"/>
      <c r="C26" s="640"/>
      <c r="D26" s="366"/>
      <c r="E26" s="366"/>
      <c r="F26" s="366"/>
      <c r="G26" s="367"/>
      <c r="H26" s="368"/>
      <c r="I26" s="368"/>
      <c r="J26" s="366"/>
      <c r="K26" s="369"/>
    </row>
    <row r="27" spans="1:11" outlineLevel="2" x14ac:dyDescent="0.25">
      <c r="A27" s="320"/>
      <c r="B27" s="579"/>
      <c r="C27" s="640"/>
      <c r="D27" s="366"/>
      <c r="E27" s="366"/>
      <c r="F27" s="366"/>
      <c r="G27" s="367"/>
      <c r="H27" s="368"/>
      <c r="I27" s="368"/>
      <c r="J27" s="366"/>
      <c r="K27" s="369"/>
    </row>
    <row r="28" spans="1:11" outlineLevel="2" x14ac:dyDescent="0.25">
      <c r="A28" s="320"/>
      <c r="B28" s="579"/>
      <c r="C28" s="640"/>
      <c r="D28" s="366"/>
      <c r="E28" s="366"/>
      <c r="F28" s="366"/>
      <c r="G28" s="367"/>
      <c r="H28" s="368"/>
      <c r="I28" s="368"/>
      <c r="J28" s="366"/>
      <c r="K28" s="369"/>
    </row>
    <row r="29" spans="1:11" outlineLevel="2" x14ac:dyDescent="0.25">
      <c r="A29" s="320"/>
      <c r="B29" s="579"/>
      <c r="C29" s="640"/>
      <c r="D29" s="366"/>
      <c r="E29" s="366"/>
      <c r="F29" s="366"/>
      <c r="G29" s="367"/>
      <c r="H29" s="368"/>
      <c r="I29" s="368"/>
      <c r="J29" s="366"/>
      <c r="K29" s="369"/>
    </row>
    <row r="30" spans="1:11" outlineLevel="2" x14ac:dyDescent="0.25">
      <c r="A30" s="320"/>
      <c r="B30" s="579"/>
      <c r="C30" s="640"/>
      <c r="D30" s="366"/>
      <c r="E30" s="366"/>
      <c r="F30" s="366"/>
      <c r="G30" s="367"/>
      <c r="H30" s="368"/>
      <c r="I30" s="368"/>
      <c r="J30" s="366"/>
      <c r="K30" s="369"/>
    </row>
    <row r="31" spans="1:11" outlineLevel="2" x14ac:dyDescent="0.25">
      <c r="A31" s="320"/>
      <c r="B31" s="579"/>
      <c r="C31" s="640"/>
      <c r="D31" s="366"/>
      <c r="E31" s="366"/>
      <c r="F31" s="366"/>
      <c r="G31" s="367"/>
      <c r="H31" s="368"/>
      <c r="I31" s="368"/>
      <c r="J31" s="366"/>
      <c r="K31" s="369"/>
    </row>
    <row r="32" spans="1:11" outlineLevel="2" x14ac:dyDescent="0.25">
      <c r="A32" s="320"/>
      <c r="B32" s="579"/>
      <c r="C32" s="640"/>
      <c r="D32" s="366"/>
      <c r="E32" s="366"/>
      <c r="F32" s="366"/>
      <c r="G32" s="367"/>
      <c r="H32" s="368"/>
      <c r="I32" s="368"/>
      <c r="J32" s="366"/>
      <c r="K32" s="369"/>
    </row>
    <row r="33" spans="1:12" outlineLevel="2" x14ac:dyDescent="0.25">
      <c r="A33" s="320"/>
      <c r="B33" s="579"/>
      <c r="C33" s="640"/>
      <c r="D33" s="366"/>
      <c r="E33" s="366"/>
      <c r="F33" s="366"/>
      <c r="G33" s="367"/>
      <c r="H33" s="368"/>
      <c r="I33" s="368"/>
      <c r="J33" s="366"/>
      <c r="K33" s="369"/>
    </row>
    <row r="34" spans="1:12" outlineLevel="2" x14ac:dyDescent="0.25">
      <c r="A34" s="320"/>
      <c r="B34" s="579"/>
      <c r="C34" s="640"/>
      <c r="D34" s="366"/>
      <c r="E34" s="366"/>
      <c r="F34" s="366"/>
      <c r="G34" s="367"/>
      <c r="H34" s="368"/>
      <c r="I34" s="368"/>
      <c r="J34" s="366"/>
      <c r="K34" s="369"/>
    </row>
    <row r="35" spans="1:12" outlineLevel="2" x14ac:dyDescent="0.25">
      <c r="A35" s="320"/>
      <c r="B35" s="579"/>
      <c r="C35" s="640"/>
      <c r="D35" s="366"/>
      <c r="E35" s="366"/>
      <c r="F35" s="366"/>
      <c r="G35" s="367"/>
      <c r="H35" s="368"/>
      <c r="I35" s="368"/>
      <c r="J35" s="366"/>
      <c r="K35" s="369"/>
    </row>
    <row r="36" spans="1:12" outlineLevel="2" x14ac:dyDescent="0.25">
      <c r="A36" s="320"/>
      <c r="B36" s="579"/>
      <c r="C36" s="640"/>
      <c r="D36" s="366"/>
      <c r="E36" s="366"/>
      <c r="F36" s="366"/>
      <c r="G36" s="367"/>
      <c r="H36" s="368"/>
      <c r="I36" s="368"/>
      <c r="J36" s="366"/>
      <c r="K36" s="369"/>
    </row>
    <row r="37" spans="1:12" outlineLevel="2" x14ac:dyDescent="0.25">
      <c r="A37" s="320"/>
      <c r="B37" s="579"/>
      <c r="C37" s="640"/>
      <c r="D37" s="366"/>
      <c r="E37" s="366"/>
      <c r="F37" s="366"/>
      <c r="G37" s="367"/>
      <c r="H37" s="368"/>
      <c r="I37" s="368"/>
      <c r="J37" s="366"/>
      <c r="K37" s="369"/>
    </row>
    <row r="38" spans="1:12" outlineLevel="2" x14ac:dyDescent="0.25">
      <c r="A38" s="320"/>
      <c r="B38" s="579"/>
      <c r="C38" s="640"/>
      <c r="D38" s="366"/>
      <c r="E38" s="366"/>
      <c r="F38" s="366"/>
      <c r="G38" s="367"/>
      <c r="H38" s="368"/>
      <c r="I38" s="368"/>
      <c r="J38" s="366"/>
      <c r="K38" s="369"/>
    </row>
    <row r="39" spans="1:12" outlineLevel="2" x14ac:dyDescent="0.25">
      <c r="A39" s="320"/>
      <c r="B39" s="579"/>
      <c r="C39" s="640"/>
      <c r="D39" s="366"/>
      <c r="E39" s="366"/>
      <c r="F39" s="366"/>
      <c r="G39" s="367"/>
      <c r="H39" s="368"/>
      <c r="I39" s="368"/>
      <c r="J39" s="366"/>
      <c r="K39" s="369"/>
    </row>
    <row r="40" spans="1:12" outlineLevel="2" x14ac:dyDescent="0.25">
      <c r="A40" s="320"/>
      <c r="B40" s="579"/>
      <c r="C40" s="640"/>
      <c r="D40" s="366"/>
      <c r="E40" s="366"/>
      <c r="F40" s="366"/>
      <c r="G40" s="367"/>
      <c r="H40" s="368"/>
      <c r="I40" s="368"/>
      <c r="J40" s="366"/>
      <c r="K40" s="369"/>
    </row>
    <row r="41" spans="1:12" ht="15.75" outlineLevel="2" thickBot="1" x14ac:dyDescent="0.3">
      <c r="A41" s="320"/>
      <c r="B41" s="579"/>
      <c r="C41" s="642"/>
      <c r="D41" s="455"/>
      <c r="E41" s="455"/>
      <c r="F41" s="455"/>
      <c r="G41" s="643"/>
      <c r="H41" s="454"/>
      <c r="I41" s="454"/>
      <c r="J41" s="455"/>
      <c r="K41" s="456"/>
    </row>
    <row r="42" spans="1:12" ht="15.75" outlineLevel="2" thickBot="1" x14ac:dyDescent="0.3">
      <c r="A42" s="320"/>
      <c r="B42" s="391" t="s">
        <v>640</v>
      </c>
      <c r="C42" s="392">
        <f>SUM(C12:C41)</f>
        <v>81643250.954782546</v>
      </c>
      <c r="D42" s="392">
        <f t="shared" ref="D42:K42" si="0">SUM(D12:D41)</f>
        <v>92145489.70044677</v>
      </c>
      <c r="E42" s="392">
        <f t="shared" si="0"/>
        <v>92438916.606494501</v>
      </c>
      <c r="F42" s="392">
        <f t="shared" si="0"/>
        <v>117693566.87134758</v>
      </c>
      <c r="G42" s="392">
        <f t="shared" si="0"/>
        <v>94969007.316552758</v>
      </c>
      <c r="H42" s="392">
        <f t="shared" si="0"/>
        <v>84427992.343129188</v>
      </c>
      <c r="I42" s="392">
        <f t="shared" si="0"/>
        <v>95945538.739784479</v>
      </c>
      <c r="J42" s="392">
        <f t="shared" si="0"/>
        <v>99292076.469999984</v>
      </c>
      <c r="K42" s="393">
        <f t="shared" si="0"/>
        <v>111119570.435</v>
      </c>
    </row>
    <row r="43" spans="1:12" ht="15.75" outlineLevel="1" thickBot="1" x14ac:dyDescent="0.3">
      <c r="A43" s="320"/>
      <c r="E43" s="320"/>
      <c r="F43" s="320"/>
      <c r="G43" s="320"/>
      <c r="H43" s="320"/>
      <c r="I43" s="518"/>
      <c r="J43" s="320"/>
      <c r="K43" s="320"/>
    </row>
    <row r="44" spans="1:12" s="436" customFormat="1" ht="26.1" customHeight="1" outlineLevel="1" thickBot="1" x14ac:dyDescent="0.3">
      <c r="A44" s="435"/>
      <c r="B44" s="308" t="s">
        <v>1215</v>
      </c>
      <c r="C44" s="309"/>
      <c r="D44" s="309"/>
      <c r="E44" s="309"/>
      <c r="F44" s="309"/>
      <c r="G44" s="309"/>
      <c r="H44" s="309"/>
      <c r="I44" s="309"/>
      <c r="J44" s="309"/>
      <c r="K44" s="310"/>
      <c r="L44" s="1335"/>
    </row>
    <row r="45" spans="1:12" s="1335" customFormat="1" ht="15" customHeight="1" outlineLevel="2" x14ac:dyDescent="0.25">
      <c r="A45" s="314"/>
      <c r="B45" s="314"/>
      <c r="C45" s="1659" t="s">
        <v>637</v>
      </c>
      <c r="D45" s="1659"/>
      <c r="E45" s="1659"/>
      <c r="F45" s="1659"/>
      <c r="G45" s="1659"/>
      <c r="H45" s="1659"/>
      <c r="I45" s="1659"/>
      <c r="J45" s="1659"/>
      <c r="K45" s="1660"/>
    </row>
    <row r="46" spans="1:12" s="317" customFormat="1" ht="16.5" customHeight="1" outlineLevel="2" x14ac:dyDescent="0.25">
      <c r="A46" s="316"/>
      <c r="B46" s="314"/>
      <c r="C46" s="1661" t="s">
        <v>638</v>
      </c>
      <c r="D46" s="1661"/>
      <c r="E46" s="1661"/>
      <c r="F46" s="1661"/>
      <c r="G46" s="1661"/>
      <c r="H46" s="1661"/>
      <c r="I46" s="1661"/>
      <c r="J46" s="1661"/>
      <c r="K46" s="1662"/>
    </row>
    <row r="47" spans="1:12" s="319" customFormat="1" ht="17.25" customHeight="1" outlineLevel="2" thickBot="1" x14ac:dyDescent="0.3">
      <c r="A47" s="318"/>
      <c r="B47" s="9" t="s">
        <v>641</v>
      </c>
      <c r="C47" s="444">
        <f>CRY</f>
        <v>2011</v>
      </c>
      <c r="D47" s="445" t="str">
        <f ca="1">PRCP_y2</f>
        <v>2002</v>
      </c>
      <c r="E47" s="445" t="str">
        <f ca="1">PRCP_y3</f>
        <v>2003</v>
      </c>
      <c r="F47" s="445" t="str">
        <f ca="1">PRCP_y4</f>
        <v>2004</v>
      </c>
      <c r="G47" s="445" t="str">
        <f ca="1">PRCP_y5</f>
        <v>2005</v>
      </c>
      <c r="H47" s="446" t="str">
        <f ca="1">CRCP_y1</f>
        <v>2006</v>
      </c>
      <c r="I47" s="446" t="str">
        <f ca="1">CRCP_y2</f>
        <v>2007</v>
      </c>
      <c r="J47" s="446" t="str">
        <f ca="1">CRCP_y3</f>
        <v>2008</v>
      </c>
      <c r="K47" s="447" t="str">
        <f ca="1">CRCP_y4</f>
        <v>2009</v>
      </c>
    </row>
    <row r="48" spans="1:12" s="1335" customFormat="1" outlineLevel="2" x14ac:dyDescent="0.25">
      <c r="A48" s="518"/>
      <c r="B48" s="618" t="str">
        <f>IF(ISBLANK(B12),"",B12)</f>
        <v>Transmission Pipelines</v>
      </c>
      <c r="C48" s="438">
        <v>73.337880804594008</v>
      </c>
      <c r="D48" s="361">
        <v>-155.37999676646066</v>
      </c>
      <c r="E48" s="361">
        <v>669.31339720401957</v>
      </c>
      <c r="F48" s="361">
        <v>1761.0617533364386</v>
      </c>
      <c r="G48" s="362">
        <v>453.99129252597442</v>
      </c>
      <c r="H48" s="363">
        <v>-0.14286149763017247</v>
      </c>
      <c r="I48" s="363">
        <v>0</v>
      </c>
      <c r="J48" s="361">
        <v>0</v>
      </c>
      <c r="K48" s="364">
        <v>0.40717657374258875</v>
      </c>
    </row>
    <row r="49" spans="1:11" s="1335" customFormat="1" outlineLevel="2" x14ac:dyDescent="0.25">
      <c r="A49" s="518"/>
      <c r="B49" s="618" t="str">
        <f t="shared" ref="B49:B77" si="1">IF(ISBLANK(B13),"",B13)</f>
        <v>Distribution Pipelines</v>
      </c>
      <c r="C49" s="640">
        <v>4215.9946340046254</v>
      </c>
      <c r="D49" s="366">
        <v>-10992.565374834723</v>
      </c>
      <c r="E49" s="366">
        <v>9977.6976306174274</v>
      </c>
      <c r="F49" s="366">
        <v>2455.3056495180276</v>
      </c>
      <c r="G49" s="367">
        <v>23553.698732975583</v>
      </c>
      <c r="H49" s="368">
        <v>9388.0094199806244</v>
      </c>
      <c r="I49" s="368">
        <v>-97479.907773576924</v>
      </c>
      <c r="J49" s="366">
        <v>-1159481.4316396955</v>
      </c>
      <c r="K49" s="369">
        <v>-3680.6212740126034</v>
      </c>
    </row>
    <row r="50" spans="1:11" s="1335" customFormat="1" outlineLevel="2" x14ac:dyDescent="0.25">
      <c r="A50" s="518"/>
      <c r="B50" s="618" t="str">
        <f t="shared" si="1"/>
        <v>Service Pipes</v>
      </c>
      <c r="C50" s="640">
        <v>2487.5476341075296</v>
      </c>
      <c r="D50" s="366">
        <v>-7771.8620967970646</v>
      </c>
      <c r="E50" s="366">
        <v>7545.4482838282802</v>
      </c>
      <c r="F50" s="366">
        <v>3240.2369930602486</v>
      </c>
      <c r="G50" s="367">
        <v>26032.807113618594</v>
      </c>
      <c r="H50" s="368">
        <v>18866.318696408987</v>
      </c>
      <c r="I50" s="368">
        <v>-111982.46683486244</v>
      </c>
      <c r="J50" s="366">
        <v>-645799.82710032468</v>
      </c>
      <c r="K50" s="369">
        <v>-3144.7827448801008</v>
      </c>
    </row>
    <row r="51" spans="1:11" s="1335" customFormat="1" outlineLevel="2" x14ac:dyDescent="0.25">
      <c r="A51" s="518"/>
      <c r="B51" s="618" t="str">
        <f t="shared" si="1"/>
        <v>Cathodic Protection</v>
      </c>
      <c r="C51" s="640">
        <v>83.870226843872771</v>
      </c>
      <c r="D51" s="366">
        <v>-110.30693684381406</v>
      </c>
      <c r="E51" s="366">
        <v>188.12166922995235</v>
      </c>
      <c r="F51" s="366">
        <v>30.58377910275653</v>
      </c>
      <c r="G51" s="367">
        <v>145.91566494435293</v>
      </c>
      <c r="H51" s="368">
        <v>162.25411444939814</v>
      </c>
      <c r="I51" s="368">
        <v>-423.717383121544</v>
      </c>
      <c r="J51" s="366">
        <v>-2508.686729063535</v>
      </c>
      <c r="K51" s="369">
        <v>-16.565301222246653</v>
      </c>
    </row>
    <row r="52" spans="1:11" s="1335" customFormat="1" outlineLevel="2" x14ac:dyDescent="0.25">
      <c r="A52" s="518"/>
      <c r="B52" s="618" t="str">
        <f t="shared" si="1"/>
        <v>Supply Regulators / Valve Stations</v>
      </c>
      <c r="C52" s="640">
        <v>131.10228057022755</v>
      </c>
      <c r="D52" s="366">
        <v>-783.44959392880367</v>
      </c>
      <c r="E52" s="366">
        <v>1020.8793008478186</v>
      </c>
      <c r="F52" s="366">
        <v>531.09076434730127</v>
      </c>
      <c r="G52" s="367">
        <v>2835.8869341018922</v>
      </c>
      <c r="H52" s="368">
        <v>977.7026709884135</v>
      </c>
      <c r="I52" s="368">
        <v>-11648.451765229775</v>
      </c>
      <c r="J52" s="366">
        <v>-42780.485875730687</v>
      </c>
      <c r="K52" s="369">
        <v>-53.455599552268524</v>
      </c>
    </row>
    <row r="53" spans="1:11" s="1335" customFormat="1" outlineLevel="2" x14ac:dyDescent="0.25">
      <c r="A53" s="518"/>
      <c r="B53" s="618" t="str">
        <f t="shared" si="1"/>
        <v>Meters</v>
      </c>
      <c r="C53" s="640">
        <v>810.48635727559827</v>
      </c>
      <c r="D53" s="366">
        <v>-2506.1132922183747</v>
      </c>
      <c r="E53" s="366">
        <v>3756.8593717422473</v>
      </c>
      <c r="F53" s="366">
        <v>945.3760804271991</v>
      </c>
      <c r="G53" s="367">
        <v>6155.6830168563201</v>
      </c>
      <c r="H53" s="368">
        <v>6133.3774721176287</v>
      </c>
      <c r="I53" s="368">
        <v>-32789.253887265433</v>
      </c>
      <c r="J53" s="366">
        <v>-394129.29197599931</v>
      </c>
      <c r="K53" s="369">
        <v>-1365.9197114991816</v>
      </c>
    </row>
    <row r="54" spans="1:11" s="1335" customFormat="1" outlineLevel="2" x14ac:dyDescent="0.25">
      <c r="A54" s="518"/>
      <c r="B54" s="618" t="str">
        <f t="shared" si="1"/>
        <v>SCADA and remote control</v>
      </c>
      <c r="C54" s="640">
        <v>80.693961585313929</v>
      </c>
      <c r="D54" s="366">
        <v>-93.92321430886328</v>
      </c>
      <c r="E54" s="366">
        <v>206.73665022008157</v>
      </c>
      <c r="F54" s="366">
        <v>25.117740521000936</v>
      </c>
      <c r="G54" s="367">
        <v>335.65410270651125</v>
      </c>
      <c r="H54" s="368">
        <v>196.60891897791555</v>
      </c>
      <c r="I54" s="368">
        <v>-839.38843009278821</v>
      </c>
      <c r="J54" s="366">
        <v>-8331.8222315349522</v>
      </c>
      <c r="K54" s="369">
        <v>-35.074370364909043</v>
      </c>
    </row>
    <row r="55" spans="1:11" s="1335" customFormat="1" outlineLevel="2" x14ac:dyDescent="0.25">
      <c r="A55" s="518"/>
      <c r="B55" s="618" t="str">
        <f t="shared" si="1"/>
        <v>Other - IT</v>
      </c>
      <c r="C55" s="640">
        <v>1121.0908400784322</v>
      </c>
      <c r="D55" s="366">
        <v>-4197.2516307479227</v>
      </c>
      <c r="E55" s="366">
        <v>4928.539065475542</v>
      </c>
      <c r="F55" s="366">
        <v>1139.3510588741792</v>
      </c>
      <c r="G55" s="367">
        <v>6093.8899784018104</v>
      </c>
      <c r="H55" s="368">
        <v>1519.8442555969975</v>
      </c>
      <c r="I55" s="368">
        <v>-15865.735326431921</v>
      </c>
      <c r="J55" s="366">
        <v>-220687.12016692106</v>
      </c>
      <c r="K55" s="369">
        <v>-671.68618207706822</v>
      </c>
    </row>
    <row r="56" spans="1:11" s="1335" customFormat="1" outlineLevel="2" x14ac:dyDescent="0.25">
      <c r="A56" s="518"/>
      <c r="B56" s="618" t="str">
        <f t="shared" si="1"/>
        <v>Other - non IT</v>
      </c>
      <c r="C56" s="640">
        <v>46.502048122244226</v>
      </c>
      <c r="D56" s="366">
        <v>-71.612439768925398</v>
      </c>
      <c r="E56" s="366">
        <v>145.2095865595285</v>
      </c>
      <c r="F56" s="366">
        <v>4.5070037946016042</v>
      </c>
      <c r="G56" s="367">
        <v>266.06177133777481</v>
      </c>
      <c r="H56" s="368">
        <v>255.22868368494954</v>
      </c>
      <c r="I56" s="368">
        <v>-3622.6173724864739</v>
      </c>
      <c r="J56" s="366">
        <v>-18730.119678722385</v>
      </c>
      <c r="K56" s="369">
        <v>-23.051143365670555</v>
      </c>
    </row>
    <row r="57" spans="1:11" s="1335" customFormat="1" ht="25.5" outlineLevel="2" x14ac:dyDescent="0.25">
      <c r="A57" s="518"/>
      <c r="B57" s="618" t="str">
        <f t="shared" si="1"/>
        <v>Non-approved asset class - Non- Network Leasehold Land &amp; Buildings - CY19</v>
      </c>
      <c r="C57" s="640">
        <v>0</v>
      </c>
      <c r="D57" s="366">
        <v>0</v>
      </c>
      <c r="E57" s="1393">
        <v>0</v>
      </c>
      <c r="F57" s="1393">
        <v>0</v>
      </c>
      <c r="G57" s="1393">
        <v>0</v>
      </c>
      <c r="H57" s="1393">
        <v>0</v>
      </c>
      <c r="I57" s="1393">
        <v>0</v>
      </c>
      <c r="J57" s="1393">
        <v>0</v>
      </c>
      <c r="K57" s="1398">
        <v>0</v>
      </c>
    </row>
    <row r="58" spans="1:11" s="1335" customFormat="1" outlineLevel="2" x14ac:dyDescent="0.25">
      <c r="A58" s="518"/>
      <c r="B58" s="618" t="str">
        <f t="shared" si="1"/>
        <v>Buildings</v>
      </c>
      <c r="C58" s="640">
        <v>0</v>
      </c>
      <c r="D58" s="366">
        <v>0</v>
      </c>
      <c r="E58" s="1393">
        <v>0</v>
      </c>
      <c r="F58" s="1393">
        <v>0</v>
      </c>
      <c r="G58" s="1393">
        <v>0</v>
      </c>
      <c r="H58" s="1393">
        <v>0</v>
      </c>
      <c r="I58" s="1393">
        <v>0</v>
      </c>
      <c r="J58" s="1393">
        <v>0</v>
      </c>
      <c r="K58" s="369">
        <v>0</v>
      </c>
    </row>
    <row r="59" spans="1:11" s="1335" customFormat="1" outlineLevel="2" x14ac:dyDescent="0.25">
      <c r="A59" s="518"/>
      <c r="B59" s="618" t="str">
        <f t="shared" si="1"/>
        <v>Land</v>
      </c>
      <c r="C59" s="640">
        <v>0</v>
      </c>
      <c r="D59" s="366">
        <v>0</v>
      </c>
      <c r="E59" s="366">
        <v>0</v>
      </c>
      <c r="F59" s="366">
        <v>0</v>
      </c>
      <c r="G59" s="367">
        <v>0</v>
      </c>
      <c r="H59" s="368">
        <v>0</v>
      </c>
      <c r="I59" s="368">
        <v>0</v>
      </c>
      <c r="J59" s="366">
        <v>0</v>
      </c>
      <c r="K59" s="369">
        <v>0</v>
      </c>
    </row>
    <row r="60" spans="1:11" s="1335" customFormat="1" outlineLevel="2" x14ac:dyDescent="0.25">
      <c r="A60" s="518"/>
      <c r="B60" s="618" t="str">
        <f t="shared" si="1"/>
        <v/>
      </c>
      <c r="C60" s="640"/>
      <c r="D60" s="366"/>
      <c r="E60" s="366"/>
      <c r="F60" s="366"/>
      <c r="G60" s="367"/>
      <c r="H60" s="368"/>
      <c r="I60" s="368"/>
      <c r="J60" s="366"/>
      <c r="K60" s="369"/>
    </row>
    <row r="61" spans="1:11" s="1335" customFormat="1" outlineLevel="2" x14ac:dyDescent="0.25">
      <c r="A61" s="518"/>
      <c r="B61" s="618" t="str">
        <f t="shared" si="1"/>
        <v/>
      </c>
      <c r="C61" s="640"/>
      <c r="D61" s="366"/>
      <c r="E61" s="366"/>
      <c r="F61" s="366"/>
      <c r="G61" s="1394"/>
      <c r="H61" s="1393"/>
      <c r="I61" s="1393"/>
      <c r="J61" s="1393"/>
      <c r="K61" s="1398"/>
    </row>
    <row r="62" spans="1:11" s="1335" customFormat="1" outlineLevel="2" x14ac:dyDescent="0.25">
      <c r="A62" s="518"/>
      <c r="B62" s="618" t="str">
        <f t="shared" si="1"/>
        <v/>
      </c>
      <c r="C62" s="640"/>
      <c r="D62" s="366"/>
      <c r="E62" s="366"/>
      <c r="F62" s="366"/>
      <c r="G62" s="367"/>
      <c r="H62" s="368"/>
      <c r="I62" s="368"/>
      <c r="J62" s="366"/>
      <c r="K62" s="1398"/>
    </row>
    <row r="63" spans="1:11" s="1335" customFormat="1" outlineLevel="2" x14ac:dyDescent="0.25">
      <c r="A63" s="518"/>
      <c r="B63" s="618" t="str">
        <f t="shared" si="1"/>
        <v/>
      </c>
      <c r="C63" s="640"/>
      <c r="D63" s="366"/>
      <c r="E63" s="366"/>
      <c r="F63" s="366"/>
      <c r="G63" s="367"/>
      <c r="H63" s="368"/>
      <c r="I63" s="368"/>
      <c r="J63" s="366"/>
      <c r="K63" s="1398"/>
    </row>
    <row r="64" spans="1:11" s="1335" customFormat="1" outlineLevel="2" x14ac:dyDescent="0.25">
      <c r="A64" s="518"/>
      <c r="B64" s="618" t="str">
        <f t="shared" si="1"/>
        <v/>
      </c>
      <c r="C64" s="640"/>
      <c r="D64" s="366"/>
      <c r="E64" s="366"/>
      <c r="F64" s="366"/>
      <c r="G64" s="367"/>
      <c r="H64" s="368"/>
      <c r="I64" s="368"/>
      <c r="J64" s="366"/>
      <c r="K64" s="369"/>
    </row>
    <row r="65" spans="1:11" s="1335" customFormat="1" outlineLevel="2" x14ac:dyDescent="0.25">
      <c r="A65" s="518"/>
      <c r="B65" s="618" t="str">
        <f t="shared" si="1"/>
        <v/>
      </c>
      <c r="C65" s="640"/>
      <c r="D65" s="366"/>
      <c r="E65" s="366"/>
      <c r="F65" s="366"/>
      <c r="G65" s="367"/>
      <c r="H65" s="368"/>
      <c r="I65" s="368"/>
      <c r="J65" s="366"/>
      <c r="K65" s="369"/>
    </row>
    <row r="66" spans="1:11" s="1335" customFormat="1" outlineLevel="2" x14ac:dyDescent="0.25">
      <c r="A66" s="518"/>
      <c r="B66" s="618" t="str">
        <f t="shared" si="1"/>
        <v/>
      </c>
      <c r="C66" s="640"/>
      <c r="D66" s="366"/>
      <c r="E66" s="366"/>
      <c r="F66" s="366"/>
      <c r="G66" s="367"/>
      <c r="H66" s="368"/>
      <c r="I66" s="368"/>
      <c r="J66" s="366"/>
      <c r="K66" s="369"/>
    </row>
    <row r="67" spans="1:11" s="1335" customFormat="1" outlineLevel="2" x14ac:dyDescent="0.25">
      <c r="A67" s="518"/>
      <c r="B67" s="618" t="str">
        <f t="shared" si="1"/>
        <v/>
      </c>
      <c r="C67" s="640"/>
      <c r="D67" s="366"/>
      <c r="E67" s="366"/>
      <c r="F67" s="366"/>
      <c r="G67" s="367"/>
      <c r="H67" s="368"/>
      <c r="I67" s="368"/>
      <c r="J67" s="366"/>
      <c r="K67" s="369"/>
    </row>
    <row r="68" spans="1:11" s="1335" customFormat="1" outlineLevel="2" x14ac:dyDescent="0.25">
      <c r="A68" s="518"/>
      <c r="B68" s="618" t="str">
        <f t="shared" si="1"/>
        <v/>
      </c>
      <c r="C68" s="640"/>
      <c r="D68" s="366"/>
      <c r="E68" s="366"/>
      <c r="F68" s="366"/>
      <c r="G68" s="367"/>
      <c r="H68" s="368"/>
      <c r="I68" s="368"/>
      <c r="J68" s="366"/>
      <c r="K68" s="369"/>
    </row>
    <row r="69" spans="1:11" s="1335" customFormat="1" outlineLevel="2" x14ac:dyDescent="0.25">
      <c r="A69" s="518"/>
      <c r="B69" s="618" t="str">
        <f t="shared" si="1"/>
        <v/>
      </c>
      <c r="C69" s="640"/>
      <c r="D69" s="366"/>
      <c r="E69" s="366"/>
      <c r="F69" s="366"/>
      <c r="G69" s="367"/>
      <c r="H69" s="368"/>
      <c r="I69" s="368"/>
      <c r="J69" s="366"/>
      <c r="K69" s="369"/>
    </row>
    <row r="70" spans="1:11" s="1335" customFormat="1" outlineLevel="2" x14ac:dyDescent="0.25">
      <c r="A70" s="518"/>
      <c r="B70" s="618" t="str">
        <f t="shared" si="1"/>
        <v/>
      </c>
      <c r="C70" s="640"/>
      <c r="D70" s="366"/>
      <c r="E70" s="366"/>
      <c r="F70" s="366"/>
      <c r="G70" s="367"/>
      <c r="H70" s="368"/>
      <c r="I70" s="368"/>
      <c r="J70" s="366"/>
      <c r="K70" s="369"/>
    </row>
    <row r="71" spans="1:11" s="1335" customFormat="1" outlineLevel="2" x14ac:dyDescent="0.25">
      <c r="A71" s="518"/>
      <c r="B71" s="618" t="str">
        <f t="shared" si="1"/>
        <v/>
      </c>
      <c r="C71" s="640"/>
      <c r="D71" s="366"/>
      <c r="E71" s="366"/>
      <c r="F71" s="366"/>
      <c r="G71" s="367"/>
      <c r="H71" s="368"/>
      <c r="I71" s="368"/>
      <c r="J71" s="366"/>
      <c r="K71" s="369"/>
    </row>
    <row r="72" spans="1:11" s="1335" customFormat="1" outlineLevel="2" x14ac:dyDescent="0.25">
      <c r="A72" s="518"/>
      <c r="B72" s="618" t="str">
        <f t="shared" si="1"/>
        <v/>
      </c>
      <c r="C72" s="640"/>
      <c r="D72" s="366"/>
      <c r="E72" s="366"/>
      <c r="F72" s="366"/>
      <c r="G72" s="367"/>
      <c r="H72" s="368"/>
      <c r="I72" s="368"/>
      <c r="J72" s="366"/>
      <c r="K72" s="369"/>
    </row>
    <row r="73" spans="1:11" s="1335" customFormat="1" outlineLevel="2" x14ac:dyDescent="0.25">
      <c r="A73" s="518"/>
      <c r="B73" s="618" t="str">
        <f t="shared" si="1"/>
        <v/>
      </c>
      <c r="C73" s="640"/>
      <c r="D73" s="366"/>
      <c r="E73" s="366"/>
      <c r="F73" s="366"/>
      <c r="G73" s="367"/>
      <c r="H73" s="368"/>
      <c r="I73" s="368"/>
      <c r="J73" s="366"/>
      <c r="K73" s="369"/>
    </row>
    <row r="74" spans="1:11" s="1335" customFormat="1" outlineLevel="2" x14ac:dyDescent="0.25">
      <c r="A74" s="518"/>
      <c r="B74" s="618" t="str">
        <f t="shared" si="1"/>
        <v/>
      </c>
      <c r="C74" s="640"/>
      <c r="D74" s="366"/>
      <c r="E74" s="366"/>
      <c r="F74" s="366"/>
      <c r="G74" s="367"/>
      <c r="H74" s="368"/>
      <c r="I74" s="368"/>
      <c r="J74" s="366"/>
      <c r="K74" s="369"/>
    </row>
    <row r="75" spans="1:11" s="1335" customFormat="1" outlineLevel="2" x14ac:dyDescent="0.25">
      <c r="A75" s="518"/>
      <c r="B75" s="618" t="str">
        <f t="shared" si="1"/>
        <v/>
      </c>
      <c r="C75" s="640"/>
      <c r="D75" s="366"/>
      <c r="E75" s="366"/>
      <c r="F75" s="366"/>
      <c r="G75" s="367"/>
      <c r="H75" s="368"/>
      <c r="I75" s="368"/>
      <c r="J75" s="366"/>
      <c r="K75" s="369"/>
    </row>
    <row r="76" spans="1:11" s="1335" customFormat="1" outlineLevel="2" x14ac:dyDescent="0.25">
      <c r="A76" s="518"/>
      <c r="B76" s="618" t="str">
        <f t="shared" si="1"/>
        <v/>
      </c>
      <c r="C76" s="640"/>
      <c r="D76" s="366"/>
      <c r="E76" s="366"/>
      <c r="F76" s="366"/>
      <c r="G76" s="367"/>
      <c r="H76" s="368"/>
      <c r="I76" s="368"/>
      <c r="J76" s="366"/>
      <c r="K76" s="369"/>
    </row>
    <row r="77" spans="1:11" s="1335" customFormat="1" ht="15.75" outlineLevel="2" thickBot="1" x14ac:dyDescent="0.3">
      <c r="A77" s="518"/>
      <c r="B77" s="618" t="str">
        <f t="shared" si="1"/>
        <v/>
      </c>
      <c r="C77" s="642"/>
      <c r="D77" s="455"/>
      <c r="E77" s="455"/>
      <c r="F77" s="455"/>
      <c r="G77" s="643"/>
      <c r="H77" s="454"/>
      <c r="I77" s="454"/>
      <c r="J77" s="455"/>
      <c r="K77" s="456"/>
    </row>
    <row r="78" spans="1:11" s="1335" customFormat="1" ht="15.75" outlineLevel="2" thickBot="1" x14ac:dyDescent="0.3">
      <c r="A78" s="518"/>
      <c r="B78" s="391" t="s">
        <v>640</v>
      </c>
      <c r="C78" s="392">
        <f>SUM(C48:C77)</f>
        <v>9050.625863392439</v>
      </c>
      <c r="D78" s="392">
        <f t="shared" ref="D78:K78" si="2">SUM(D48:D77)</f>
        <v>-26682.464576214952</v>
      </c>
      <c r="E78" s="392">
        <f>SUM(E48:E77)</f>
        <v>28438.8049557249</v>
      </c>
      <c r="F78" s="392">
        <f t="shared" si="2"/>
        <v>10132.630822981753</v>
      </c>
      <c r="G78" s="392">
        <f t="shared" si="2"/>
        <v>65873.588607468817</v>
      </c>
      <c r="H78" s="392">
        <f t="shared" si="2"/>
        <v>37499.201370707284</v>
      </c>
      <c r="I78" s="392">
        <f t="shared" si="2"/>
        <v>-274651.53877306724</v>
      </c>
      <c r="J78" s="392">
        <f t="shared" si="2"/>
        <v>-2492448.785397992</v>
      </c>
      <c r="K78" s="393">
        <f t="shared" si="2"/>
        <v>-8990.7491504003065</v>
      </c>
    </row>
    <row r="79" spans="1:11" s="1335" customFormat="1" outlineLevel="1" x14ac:dyDescent="0.25">
      <c r="A79" s="518"/>
      <c r="E79" s="518"/>
      <c r="F79" s="518"/>
      <c r="G79" s="518"/>
      <c r="H79" s="518"/>
      <c r="I79" s="518"/>
      <c r="J79" s="518"/>
      <c r="K79" s="518"/>
    </row>
    <row r="81" spans="1:12" ht="15.75" thickBot="1" x14ac:dyDescent="0.3"/>
    <row r="82" spans="1:12" s="306" customFormat="1" ht="27.95" customHeight="1" thickBot="1" x14ac:dyDescent="0.3">
      <c r="A82" s="307"/>
      <c r="B82" s="84" t="s">
        <v>840</v>
      </c>
      <c r="C82" s="84"/>
      <c r="D82" s="84"/>
      <c r="E82" s="84"/>
      <c r="F82" s="84"/>
      <c r="G82" s="84"/>
      <c r="H82" s="84"/>
      <c r="I82" s="84"/>
      <c r="J82" s="84"/>
      <c r="K82" s="84"/>
      <c r="L82"/>
    </row>
    <row r="83" spans="1:12" s="306" customFormat="1" ht="26.1" customHeight="1" outlineLevel="1" thickBot="1" x14ac:dyDescent="0.3">
      <c r="A83" s="307"/>
      <c r="B83" s="308" t="s">
        <v>1216</v>
      </c>
      <c r="C83" s="309"/>
      <c r="D83" s="309"/>
      <c r="E83" s="309"/>
      <c r="F83" s="309"/>
      <c r="G83" s="309"/>
      <c r="H83" s="309"/>
      <c r="I83" s="309"/>
      <c r="J83" s="309"/>
      <c r="K83" s="310"/>
      <c r="L83"/>
    </row>
    <row r="84" spans="1:12" s="401" customFormat="1" ht="15" customHeight="1" outlineLevel="2" x14ac:dyDescent="0.25">
      <c r="A84" s="314"/>
      <c r="B84" s="314"/>
      <c r="C84" s="1659" t="s">
        <v>637</v>
      </c>
      <c r="D84" s="1659"/>
      <c r="E84" s="1659"/>
      <c r="F84" s="1659"/>
      <c r="G84" s="1659"/>
      <c r="H84" s="1659"/>
      <c r="I84" s="1659"/>
      <c r="J84" s="1659"/>
      <c r="K84" s="1660"/>
    </row>
    <row r="85" spans="1:12" s="317" customFormat="1" ht="16.5" customHeight="1" outlineLevel="2" x14ac:dyDescent="0.25">
      <c r="A85" s="316"/>
      <c r="B85" s="314"/>
      <c r="C85" s="1661" t="s">
        <v>638</v>
      </c>
      <c r="D85" s="1661"/>
      <c r="E85" s="1661"/>
      <c r="F85" s="1661"/>
      <c r="G85" s="1661"/>
      <c r="H85" s="1661"/>
      <c r="I85" s="1661"/>
      <c r="J85" s="1661"/>
      <c r="K85" s="1662"/>
    </row>
    <row r="86" spans="1:12" s="319" customFormat="1" ht="17.25" customHeight="1" outlineLevel="2" thickBot="1" x14ac:dyDescent="0.3">
      <c r="A86" s="318"/>
      <c r="B86" s="9" t="s">
        <v>641</v>
      </c>
      <c r="C86" s="444">
        <f>CRY</f>
        <v>2011</v>
      </c>
      <c r="D86" s="445" t="str">
        <f ca="1">PRCP_y2</f>
        <v>2002</v>
      </c>
      <c r="E86" s="445" t="str">
        <f ca="1">PRCP_y3</f>
        <v>2003</v>
      </c>
      <c r="F86" s="445" t="str">
        <f ca="1">PRCP_y4</f>
        <v>2004</v>
      </c>
      <c r="G86" s="445" t="str">
        <f ca="1">PRCP_y5</f>
        <v>2005</v>
      </c>
      <c r="H86" s="446" t="str">
        <f ca="1">CRCP_y1</f>
        <v>2006</v>
      </c>
      <c r="I86" s="446" t="str">
        <f ca="1">CRCP_y2</f>
        <v>2007</v>
      </c>
      <c r="J86" s="446" t="str">
        <f ca="1">CRCP_y3</f>
        <v>2008</v>
      </c>
      <c r="K86" s="447" t="str">
        <f ca="1">CRCP_y4</f>
        <v>2009</v>
      </c>
    </row>
    <row r="87" spans="1:12" outlineLevel="2" x14ac:dyDescent="0.25">
      <c r="A87" s="320"/>
      <c r="B87" s="618" t="str">
        <f t="shared" ref="B87:B116" si="3">IF(ISBLANK(B12),"",B12)</f>
        <v>Transmission Pipelines</v>
      </c>
      <c r="C87" s="438">
        <v>550470.82975857158</v>
      </c>
      <c r="D87" s="361">
        <v>94140.493664345529</v>
      </c>
      <c r="E87" s="361">
        <v>1380662.2474106937</v>
      </c>
      <c r="F87" s="1392">
        <v>20039964.658204496</v>
      </c>
      <c r="G87" s="362">
        <v>772136.1096878465</v>
      </c>
      <c r="H87" s="363">
        <v>0</v>
      </c>
      <c r="I87" s="363">
        <v>20000</v>
      </c>
      <c r="J87" s="361">
        <v>0</v>
      </c>
      <c r="K87" s="364">
        <v>0</v>
      </c>
    </row>
    <row r="88" spans="1:12" outlineLevel="2" x14ac:dyDescent="0.25">
      <c r="A88" s="320"/>
      <c r="B88" s="618" t="str">
        <f t="shared" si="3"/>
        <v>Distribution Pipelines</v>
      </c>
      <c r="C88" s="640">
        <v>1326991.7826431133</v>
      </c>
      <c r="D88" s="366">
        <v>1462724.6048150656</v>
      </c>
      <c r="E88" s="366">
        <v>5061147.9230111148</v>
      </c>
      <c r="F88" s="1393">
        <v>4596152.2761235042</v>
      </c>
      <c r="G88" s="367">
        <v>1996433.468176017</v>
      </c>
      <c r="H88" s="1395">
        <v>147382.6</v>
      </c>
      <c r="I88" s="368">
        <v>4591000.2899999991</v>
      </c>
      <c r="J88" s="366">
        <v>3558986.3020000001</v>
      </c>
      <c r="K88" s="369">
        <v>3411596.2239999999</v>
      </c>
    </row>
    <row r="89" spans="1:12" outlineLevel="2" x14ac:dyDescent="0.25">
      <c r="A89" s="320"/>
      <c r="B89" s="618" t="str">
        <f t="shared" si="3"/>
        <v>Service Pipes</v>
      </c>
      <c r="C89" s="640">
        <v>487972.42555769294</v>
      </c>
      <c r="D89" s="366">
        <v>1273535.4133310115</v>
      </c>
      <c r="E89" s="1393">
        <v>1482077.720054931</v>
      </c>
      <c r="F89" s="1393">
        <v>1170162.1636036951</v>
      </c>
      <c r="G89" s="1394">
        <v>2232316.6534274425</v>
      </c>
      <c r="H89" s="1395">
        <v>2379134.2880000002</v>
      </c>
      <c r="I89" s="1395">
        <v>4887223.926</v>
      </c>
      <c r="J89" s="1393">
        <v>1482923.6520000002</v>
      </c>
      <c r="K89" s="369">
        <v>3138494.0219999999</v>
      </c>
    </row>
    <row r="90" spans="1:12" outlineLevel="2" x14ac:dyDescent="0.25">
      <c r="A90" s="320"/>
      <c r="B90" s="618" t="str">
        <f t="shared" si="3"/>
        <v>Cathodic Protection</v>
      </c>
      <c r="C90" s="640">
        <v>0</v>
      </c>
      <c r="D90" s="366">
        <v>0</v>
      </c>
      <c r="E90" s="1393">
        <v>0</v>
      </c>
      <c r="F90" s="1393">
        <v>0</v>
      </c>
      <c r="G90" s="1394">
        <v>0</v>
      </c>
      <c r="H90" s="1395">
        <v>0</v>
      </c>
      <c r="I90" s="1395">
        <v>0</v>
      </c>
      <c r="J90" s="1393">
        <v>0</v>
      </c>
      <c r="K90" s="369">
        <v>0</v>
      </c>
    </row>
    <row r="91" spans="1:12" outlineLevel="2" x14ac:dyDescent="0.25">
      <c r="A91" s="320"/>
      <c r="B91" s="618" t="str">
        <f t="shared" si="3"/>
        <v>Supply Regulators / Valve Stations</v>
      </c>
      <c r="C91" s="640">
        <v>0</v>
      </c>
      <c r="D91" s="366">
        <v>161092.74634049201</v>
      </c>
      <c r="E91" s="1393">
        <v>75747.907394225127</v>
      </c>
      <c r="F91" s="1393">
        <v>627799.93016792054</v>
      </c>
      <c r="G91" s="1394">
        <v>20000.665679462549</v>
      </c>
      <c r="H91" s="1395">
        <v>1728.4</v>
      </c>
      <c r="I91" s="1395">
        <v>2952464.8000000003</v>
      </c>
      <c r="J91" s="1393">
        <v>433640.60000000003</v>
      </c>
      <c r="K91" s="369">
        <v>0</v>
      </c>
    </row>
    <row r="92" spans="1:12" outlineLevel="2" x14ac:dyDescent="0.25">
      <c r="A92" s="320"/>
      <c r="B92" s="618" t="str">
        <f t="shared" si="3"/>
        <v>Meters</v>
      </c>
      <c r="C92" s="640">
        <v>20184.967300904045</v>
      </c>
      <c r="D92" s="366">
        <v>99816.781555229609</v>
      </c>
      <c r="E92" s="1393">
        <v>898461.88813364739</v>
      </c>
      <c r="F92" s="1393">
        <v>868755.01190038689</v>
      </c>
      <c r="G92" s="1394">
        <v>633000.34302923223</v>
      </c>
      <c r="H92" s="1395">
        <v>578439.03200000001</v>
      </c>
      <c r="I92" s="1395">
        <v>968192.71400000004</v>
      </c>
      <c r="J92" s="1393">
        <v>411747.89600000007</v>
      </c>
      <c r="K92" s="369">
        <v>1593261.4239999996</v>
      </c>
    </row>
    <row r="93" spans="1:12" outlineLevel="2" x14ac:dyDescent="0.25">
      <c r="A93" s="320"/>
      <c r="B93" s="618" t="str">
        <f t="shared" si="3"/>
        <v>SCADA and remote control</v>
      </c>
      <c r="C93" s="640">
        <v>0</v>
      </c>
      <c r="D93" s="366">
        <v>0</v>
      </c>
      <c r="E93" s="1393">
        <v>147.56467191735302</v>
      </c>
      <c r="F93" s="1393">
        <v>0</v>
      </c>
      <c r="G93" s="1394">
        <v>0</v>
      </c>
      <c r="H93" s="1395">
        <v>0</v>
      </c>
      <c r="I93" s="1395">
        <v>0</v>
      </c>
      <c r="J93" s="1393">
        <v>0</v>
      </c>
      <c r="K93" s="369">
        <v>0</v>
      </c>
    </row>
    <row r="94" spans="1:12" s="1260" customFormat="1" outlineLevel="2" x14ac:dyDescent="0.25">
      <c r="A94" s="518"/>
      <c r="B94" s="618" t="str">
        <f t="shared" si="3"/>
        <v>Other - IT</v>
      </c>
      <c r="C94" s="640">
        <v>0</v>
      </c>
      <c r="D94" s="366">
        <v>0</v>
      </c>
      <c r="E94" s="1393">
        <v>0</v>
      </c>
      <c r="F94" s="1393">
        <v>0</v>
      </c>
      <c r="G94" s="1394">
        <v>0</v>
      </c>
      <c r="H94" s="1395">
        <v>0</v>
      </c>
      <c r="I94" s="1395">
        <v>0</v>
      </c>
      <c r="J94" s="1393">
        <v>0</v>
      </c>
      <c r="K94" s="369">
        <v>0</v>
      </c>
    </row>
    <row r="95" spans="1:12" s="1260" customFormat="1" outlineLevel="2" x14ac:dyDescent="0.25">
      <c r="A95" s="518"/>
      <c r="B95" s="618" t="str">
        <f t="shared" si="3"/>
        <v>Other - non IT</v>
      </c>
      <c r="C95" s="640">
        <v>0</v>
      </c>
      <c r="D95" s="366">
        <v>0</v>
      </c>
      <c r="E95" s="1393">
        <v>10330.849323472266</v>
      </c>
      <c r="F95" s="1393">
        <v>0</v>
      </c>
      <c r="G95" s="1394">
        <v>0</v>
      </c>
      <c r="H95" s="1395">
        <v>0</v>
      </c>
      <c r="I95" s="1395">
        <v>0</v>
      </c>
      <c r="J95" s="1393">
        <v>0</v>
      </c>
      <c r="K95" s="369">
        <v>0</v>
      </c>
    </row>
    <row r="96" spans="1:12" s="1260" customFormat="1" ht="25.5" outlineLevel="2" x14ac:dyDescent="0.25">
      <c r="A96" s="518"/>
      <c r="B96" s="618" t="str">
        <f t="shared" si="3"/>
        <v>Non-approved asset class - Non- Network Leasehold Land &amp; Buildings - CY19</v>
      </c>
      <c r="C96" s="640">
        <v>0</v>
      </c>
      <c r="D96" s="366">
        <v>0</v>
      </c>
      <c r="E96" s="366">
        <v>0</v>
      </c>
      <c r="F96" s="366">
        <v>0</v>
      </c>
      <c r="G96" s="367">
        <v>0</v>
      </c>
      <c r="H96" s="368">
        <v>0</v>
      </c>
      <c r="I96" s="368">
        <v>0</v>
      </c>
      <c r="J96" s="366">
        <v>0</v>
      </c>
      <c r="K96" s="369">
        <v>0</v>
      </c>
    </row>
    <row r="97" spans="1:11" s="1260" customFormat="1" outlineLevel="2" x14ac:dyDescent="0.25">
      <c r="A97" s="518"/>
      <c r="B97" s="618" t="str">
        <f t="shared" si="3"/>
        <v>Buildings</v>
      </c>
      <c r="C97" s="640">
        <v>0</v>
      </c>
      <c r="D97" s="366">
        <v>0</v>
      </c>
      <c r="E97" s="366">
        <v>0</v>
      </c>
      <c r="F97" s="366">
        <v>0</v>
      </c>
      <c r="G97" s="367">
        <v>0</v>
      </c>
      <c r="H97" s="368">
        <v>0</v>
      </c>
      <c r="I97" s="368">
        <v>0</v>
      </c>
      <c r="J97" s="366">
        <v>0</v>
      </c>
      <c r="K97" s="369">
        <v>0</v>
      </c>
    </row>
    <row r="98" spans="1:11" s="1260" customFormat="1" outlineLevel="2" x14ac:dyDescent="0.25">
      <c r="A98" s="518"/>
      <c r="B98" s="618" t="str">
        <f t="shared" si="3"/>
        <v>Land</v>
      </c>
      <c r="C98" s="640">
        <v>0</v>
      </c>
      <c r="D98" s="366">
        <v>0</v>
      </c>
      <c r="E98" s="366">
        <v>0</v>
      </c>
      <c r="F98" s="366">
        <v>0</v>
      </c>
      <c r="G98" s="367">
        <v>0</v>
      </c>
      <c r="H98" s="368">
        <v>0</v>
      </c>
      <c r="I98" s="368">
        <v>0</v>
      </c>
      <c r="J98" s="366">
        <v>0</v>
      </c>
      <c r="K98" s="369">
        <v>0</v>
      </c>
    </row>
    <row r="99" spans="1:11" s="1260" customFormat="1" outlineLevel="2" x14ac:dyDescent="0.25">
      <c r="A99" s="518"/>
      <c r="B99" s="618" t="str">
        <f t="shared" si="3"/>
        <v/>
      </c>
      <c r="C99" s="640"/>
      <c r="D99" s="366"/>
      <c r="E99" s="366"/>
      <c r="F99" s="366"/>
      <c r="G99" s="367"/>
      <c r="H99" s="368"/>
      <c r="I99" s="368"/>
      <c r="J99" s="366"/>
      <c r="K99" s="369"/>
    </row>
    <row r="100" spans="1:11" outlineLevel="2" x14ac:dyDescent="0.25">
      <c r="A100" s="320"/>
      <c r="B100" s="618" t="str">
        <f t="shared" si="3"/>
        <v/>
      </c>
      <c r="C100" s="640"/>
      <c r="D100" s="366"/>
      <c r="E100" s="366"/>
      <c r="F100" s="366"/>
      <c r="G100" s="367"/>
      <c r="H100" s="368"/>
      <c r="I100" s="368"/>
      <c r="J100" s="366"/>
      <c r="K100" s="369"/>
    </row>
    <row r="101" spans="1:11" outlineLevel="2" x14ac:dyDescent="0.25">
      <c r="A101" s="320"/>
      <c r="B101" s="618" t="str">
        <f t="shared" si="3"/>
        <v/>
      </c>
      <c r="C101" s="640"/>
      <c r="D101" s="366"/>
      <c r="E101" s="366"/>
      <c r="F101" s="366"/>
      <c r="G101" s="367"/>
      <c r="H101" s="368"/>
      <c r="I101" s="368"/>
      <c r="J101" s="366"/>
      <c r="K101" s="369"/>
    </row>
    <row r="102" spans="1:11" outlineLevel="2" x14ac:dyDescent="0.25">
      <c r="A102" s="320"/>
      <c r="B102" s="618" t="str">
        <f t="shared" si="3"/>
        <v/>
      </c>
      <c r="C102" s="640"/>
      <c r="D102" s="366"/>
      <c r="E102" s="366"/>
      <c r="F102" s="366"/>
      <c r="G102" s="367"/>
      <c r="H102" s="368"/>
      <c r="I102" s="368"/>
      <c r="J102" s="366"/>
      <c r="K102" s="369"/>
    </row>
    <row r="103" spans="1:11" outlineLevel="2" x14ac:dyDescent="0.25">
      <c r="A103" s="320"/>
      <c r="B103" s="618" t="str">
        <f t="shared" si="3"/>
        <v/>
      </c>
      <c r="C103" s="640"/>
      <c r="D103" s="366"/>
      <c r="E103" s="366"/>
      <c r="F103" s="366"/>
      <c r="G103" s="367"/>
      <c r="H103" s="368"/>
      <c r="I103" s="368"/>
      <c r="J103" s="366"/>
      <c r="K103" s="369"/>
    </row>
    <row r="104" spans="1:11" outlineLevel="2" x14ac:dyDescent="0.25">
      <c r="A104" s="320"/>
      <c r="B104" s="618" t="str">
        <f t="shared" si="3"/>
        <v/>
      </c>
      <c r="C104" s="640"/>
      <c r="D104" s="366"/>
      <c r="E104" s="366"/>
      <c r="F104" s="366"/>
      <c r="G104" s="367"/>
      <c r="H104" s="368"/>
      <c r="I104" s="368"/>
      <c r="J104" s="366"/>
      <c r="K104" s="369"/>
    </row>
    <row r="105" spans="1:11" outlineLevel="2" x14ac:dyDescent="0.25">
      <c r="A105" s="320"/>
      <c r="B105" s="618" t="str">
        <f t="shared" si="3"/>
        <v/>
      </c>
      <c r="C105" s="640"/>
      <c r="D105" s="366"/>
      <c r="E105" s="366"/>
      <c r="F105" s="366"/>
      <c r="G105" s="367"/>
      <c r="H105" s="368"/>
      <c r="I105" s="368"/>
      <c r="J105" s="366"/>
      <c r="K105" s="369"/>
    </row>
    <row r="106" spans="1:11" outlineLevel="2" x14ac:dyDescent="0.25">
      <c r="A106" s="320"/>
      <c r="B106" s="618" t="str">
        <f t="shared" si="3"/>
        <v/>
      </c>
      <c r="C106" s="640"/>
      <c r="D106" s="366"/>
      <c r="E106" s="366"/>
      <c r="F106" s="366"/>
      <c r="G106" s="367"/>
      <c r="H106" s="368"/>
      <c r="I106" s="368"/>
      <c r="J106" s="366"/>
      <c r="K106" s="369"/>
    </row>
    <row r="107" spans="1:11" outlineLevel="2" x14ac:dyDescent="0.25">
      <c r="A107" s="320"/>
      <c r="B107" s="618" t="str">
        <f t="shared" si="3"/>
        <v/>
      </c>
      <c r="C107" s="640"/>
      <c r="D107" s="366"/>
      <c r="E107" s="366"/>
      <c r="F107" s="366"/>
      <c r="G107" s="367"/>
      <c r="H107" s="368"/>
      <c r="I107" s="368"/>
      <c r="J107" s="366"/>
      <c r="K107" s="369"/>
    </row>
    <row r="108" spans="1:11" outlineLevel="2" x14ac:dyDescent="0.25">
      <c r="A108" s="320"/>
      <c r="B108" s="618" t="str">
        <f t="shared" si="3"/>
        <v/>
      </c>
      <c r="C108" s="640"/>
      <c r="D108" s="366"/>
      <c r="E108" s="366"/>
      <c r="F108" s="366"/>
      <c r="G108" s="367"/>
      <c r="H108" s="368"/>
      <c r="I108" s="368"/>
      <c r="J108" s="366"/>
      <c r="K108" s="369"/>
    </row>
    <row r="109" spans="1:11" outlineLevel="2" x14ac:dyDescent="0.25">
      <c r="A109" s="320"/>
      <c r="B109" s="618" t="str">
        <f t="shared" si="3"/>
        <v/>
      </c>
      <c r="C109" s="640"/>
      <c r="D109" s="366"/>
      <c r="E109" s="366"/>
      <c r="F109" s="366"/>
      <c r="G109" s="367"/>
      <c r="H109" s="368"/>
      <c r="I109" s="368"/>
      <c r="J109" s="366"/>
      <c r="K109" s="369"/>
    </row>
    <row r="110" spans="1:11" outlineLevel="2" x14ac:dyDescent="0.25">
      <c r="A110" s="320"/>
      <c r="B110" s="618" t="str">
        <f t="shared" si="3"/>
        <v/>
      </c>
      <c r="C110" s="640"/>
      <c r="D110" s="366"/>
      <c r="E110" s="366"/>
      <c r="F110" s="366"/>
      <c r="G110" s="367"/>
      <c r="H110" s="368"/>
      <c r="I110" s="368"/>
      <c r="J110" s="366"/>
      <c r="K110" s="369"/>
    </row>
    <row r="111" spans="1:11" outlineLevel="2" x14ac:dyDescent="0.25">
      <c r="A111" s="320"/>
      <c r="B111" s="618" t="str">
        <f t="shared" si="3"/>
        <v/>
      </c>
      <c r="C111" s="640"/>
      <c r="D111" s="366"/>
      <c r="E111" s="366"/>
      <c r="F111" s="366"/>
      <c r="G111" s="367"/>
      <c r="H111" s="368"/>
      <c r="I111" s="368"/>
      <c r="J111" s="366"/>
      <c r="K111" s="369"/>
    </row>
    <row r="112" spans="1:11" outlineLevel="2" x14ac:dyDescent="0.25">
      <c r="A112" s="320"/>
      <c r="B112" s="618" t="str">
        <f t="shared" si="3"/>
        <v/>
      </c>
      <c r="C112" s="640"/>
      <c r="D112" s="366"/>
      <c r="E112" s="366"/>
      <c r="F112" s="366"/>
      <c r="G112" s="367"/>
      <c r="H112" s="368"/>
      <c r="I112" s="368"/>
      <c r="J112" s="366"/>
      <c r="K112" s="369"/>
    </row>
    <row r="113" spans="1:12" outlineLevel="2" x14ac:dyDescent="0.25">
      <c r="A113" s="320"/>
      <c r="B113" s="618" t="str">
        <f t="shared" si="3"/>
        <v/>
      </c>
      <c r="C113" s="640"/>
      <c r="D113" s="366"/>
      <c r="E113" s="366"/>
      <c r="F113" s="366"/>
      <c r="G113" s="367"/>
      <c r="H113" s="368"/>
      <c r="I113" s="368"/>
      <c r="J113" s="366"/>
      <c r="K113" s="369"/>
    </row>
    <row r="114" spans="1:12" outlineLevel="2" x14ac:dyDescent="0.25">
      <c r="A114" s="320"/>
      <c r="B114" s="618" t="str">
        <f t="shared" si="3"/>
        <v/>
      </c>
      <c r="C114" s="640"/>
      <c r="D114" s="366"/>
      <c r="E114" s="366"/>
      <c r="F114" s="366"/>
      <c r="G114" s="367"/>
      <c r="H114" s="368"/>
      <c r="I114" s="368"/>
      <c r="J114" s="366"/>
      <c r="K114" s="369"/>
    </row>
    <row r="115" spans="1:12" outlineLevel="2" x14ac:dyDescent="0.25">
      <c r="A115" s="320"/>
      <c r="B115" s="618" t="str">
        <f t="shared" si="3"/>
        <v/>
      </c>
      <c r="C115" s="640"/>
      <c r="D115" s="366"/>
      <c r="E115" s="366"/>
      <c r="F115" s="366"/>
      <c r="G115" s="367"/>
      <c r="H115" s="368"/>
      <c r="I115" s="368"/>
      <c r="J115" s="366"/>
      <c r="K115" s="369"/>
    </row>
    <row r="116" spans="1:12" ht="15.75" outlineLevel="2" thickBot="1" x14ac:dyDescent="0.3">
      <c r="A116" s="320"/>
      <c r="B116" s="618" t="str">
        <f t="shared" si="3"/>
        <v/>
      </c>
      <c r="C116" s="642"/>
      <c r="D116" s="455"/>
      <c r="E116" s="455"/>
      <c r="F116" s="455"/>
      <c r="G116" s="643"/>
      <c r="H116" s="454"/>
      <c r="I116" s="454"/>
      <c r="J116" s="455"/>
      <c r="K116" s="456"/>
    </row>
    <row r="117" spans="1:12" ht="15.75" outlineLevel="2" thickBot="1" x14ac:dyDescent="0.3">
      <c r="A117" s="320"/>
      <c r="B117" s="391" t="s">
        <v>640</v>
      </c>
      <c r="C117" s="392">
        <f>SUM(C87:C116)</f>
        <v>2385620.0052602817</v>
      </c>
      <c r="D117" s="392">
        <f t="shared" ref="D117:K117" si="4">SUM(D87:D116)</f>
        <v>3091310.0397061445</v>
      </c>
      <c r="E117" s="392">
        <f t="shared" si="4"/>
        <v>8908576.1000000015</v>
      </c>
      <c r="F117" s="392">
        <f t="shared" si="4"/>
        <v>27302834.040000007</v>
      </c>
      <c r="G117" s="392">
        <f t="shared" si="4"/>
        <v>5653887.2400000002</v>
      </c>
      <c r="H117" s="392">
        <f t="shared" si="4"/>
        <v>3106684.3200000003</v>
      </c>
      <c r="I117" s="392">
        <f t="shared" si="4"/>
        <v>13418881.729999999</v>
      </c>
      <c r="J117" s="392">
        <f t="shared" si="4"/>
        <v>5887298.4499999993</v>
      </c>
      <c r="K117" s="392">
        <f t="shared" si="4"/>
        <v>8143351.669999999</v>
      </c>
    </row>
    <row r="118" spans="1:12" ht="12" customHeight="1" outlineLevel="1" x14ac:dyDescent="0.25">
      <c r="A118" s="320"/>
      <c r="B118" s="321"/>
      <c r="C118" s="321"/>
      <c r="D118" s="321"/>
      <c r="E118" s="320"/>
      <c r="F118" s="320"/>
      <c r="G118" s="320"/>
      <c r="H118" s="320"/>
      <c r="I118" s="518"/>
      <c r="J118" s="320"/>
      <c r="K118" s="320"/>
    </row>
    <row r="120" spans="1:12" ht="15.75" thickBot="1" x14ac:dyDescent="0.3"/>
    <row r="121" spans="1:12" s="306" customFormat="1" ht="27.95" customHeight="1" thickBot="1" x14ac:dyDescent="0.3">
      <c r="A121" s="307"/>
      <c r="B121" s="84" t="s">
        <v>841</v>
      </c>
      <c r="C121" s="84"/>
      <c r="D121" s="84"/>
      <c r="E121" s="84"/>
      <c r="F121" s="84"/>
      <c r="G121" s="84"/>
      <c r="H121" s="84"/>
      <c r="I121" s="84"/>
      <c r="J121" s="84"/>
      <c r="K121" s="84"/>
      <c r="L121"/>
    </row>
    <row r="122" spans="1:12" s="306" customFormat="1" ht="26.1" customHeight="1" outlineLevel="1" thickBot="1" x14ac:dyDescent="0.3">
      <c r="A122" s="307"/>
      <c r="B122" s="308" t="s">
        <v>842</v>
      </c>
      <c r="C122" s="309"/>
      <c r="D122" s="309"/>
      <c r="E122" s="309"/>
      <c r="F122" s="309"/>
      <c r="G122" s="309"/>
      <c r="H122" s="309"/>
      <c r="I122" s="309"/>
      <c r="J122" s="309"/>
      <c r="K122" s="310"/>
      <c r="L122"/>
    </row>
    <row r="123" spans="1:12" s="401" customFormat="1" ht="15" customHeight="1" outlineLevel="2" x14ac:dyDescent="0.25">
      <c r="A123" s="314"/>
      <c r="B123" s="314"/>
      <c r="C123" s="1659" t="s">
        <v>637</v>
      </c>
      <c r="D123" s="1659"/>
      <c r="E123" s="1659"/>
      <c r="F123" s="1659"/>
      <c r="G123" s="1659"/>
      <c r="H123" s="1659"/>
      <c r="I123" s="1659"/>
      <c r="J123" s="1659"/>
      <c r="K123" s="1660"/>
    </row>
    <row r="124" spans="1:12" s="317" customFormat="1" ht="16.5" customHeight="1" outlineLevel="2" x14ac:dyDescent="0.25">
      <c r="A124" s="316"/>
      <c r="B124" s="314"/>
      <c r="C124" s="1661" t="s">
        <v>638</v>
      </c>
      <c r="D124" s="1661"/>
      <c r="E124" s="1661"/>
      <c r="F124" s="1661"/>
      <c r="G124" s="1661"/>
      <c r="H124" s="1661"/>
      <c r="I124" s="1661"/>
      <c r="J124" s="1661"/>
      <c r="K124" s="1662"/>
    </row>
    <row r="125" spans="1:12" s="319" customFormat="1" ht="17.25" customHeight="1" outlineLevel="2" thickBot="1" x14ac:dyDescent="0.3">
      <c r="A125" s="318"/>
      <c r="B125" s="9" t="s">
        <v>641</v>
      </c>
      <c r="C125" s="444">
        <f>CRY</f>
        <v>2011</v>
      </c>
      <c r="D125" s="445" t="str">
        <f ca="1">PRCP_y2</f>
        <v>2002</v>
      </c>
      <c r="E125" s="445" t="str">
        <f ca="1">PRCP_y3</f>
        <v>2003</v>
      </c>
      <c r="F125" s="445" t="str">
        <f ca="1">PRCP_y4</f>
        <v>2004</v>
      </c>
      <c r="G125" s="445" t="str">
        <f ca="1">PRCP_y5</f>
        <v>2005</v>
      </c>
      <c r="H125" s="446" t="str">
        <f ca="1">CRCP_y1</f>
        <v>2006</v>
      </c>
      <c r="I125" s="446" t="str">
        <f ca="1">CRCP_y2</f>
        <v>2007</v>
      </c>
      <c r="J125" s="446" t="str">
        <f ca="1">CRCP_y3</f>
        <v>2008</v>
      </c>
      <c r="K125" s="447" t="str">
        <f ca="1">CRCP_y4</f>
        <v>2009</v>
      </c>
    </row>
    <row r="126" spans="1:12" outlineLevel="2" x14ac:dyDescent="0.25">
      <c r="A126" s="320"/>
      <c r="B126" s="618" t="str">
        <f t="shared" ref="B126:B155" si="5">IF(ISBLANK(B12),"",B12)</f>
        <v>Transmission Pipelines</v>
      </c>
      <c r="C126" s="438">
        <v>0</v>
      </c>
      <c r="D126" s="361">
        <v>0</v>
      </c>
      <c r="E126" s="361">
        <v>0</v>
      </c>
      <c r="F126" s="361">
        <v>0</v>
      </c>
      <c r="G126" s="362">
        <v>0</v>
      </c>
      <c r="H126" s="363">
        <v>0</v>
      </c>
      <c r="I126" s="363">
        <v>0</v>
      </c>
      <c r="J126" s="361">
        <v>0</v>
      </c>
      <c r="K126" s="364">
        <v>0</v>
      </c>
    </row>
    <row r="127" spans="1:12" outlineLevel="2" x14ac:dyDescent="0.25">
      <c r="A127" s="320"/>
      <c r="B127" s="618" t="str">
        <f t="shared" si="5"/>
        <v>Distribution Pipelines</v>
      </c>
      <c r="C127" s="640">
        <v>0</v>
      </c>
      <c r="D127" s="366">
        <v>0</v>
      </c>
      <c r="E127" s="366">
        <v>0</v>
      </c>
      <c r="F127" s="366">
        <v>0</v>
      </c>
      <c r="G127" s="367">
        <v>0</v>
      </c>
      <c r="H127" s="368">
        <v>0</v>
      </c>
      <c r="I127" s="368">
        <v>0</v>
      </c>
      <c r="J127" s="366">
        <v>0</v>
      </c>
      <c r="K127" s="369">
        <v>0</v>
      </c>
    </row>
    <row r="128" spans="1:12" outlineLevel="2" x14ac:dyDescent="0.25">
      <c r="A128" s="320"/>
      <c r="B128" s="618" t="str">
        <f t="shared" si="5"/>
        <v>Service Pipes</v>
      </c>
      <c r="C128" s="640">
        <v>0</v>
      </c>
      <c r="D128" s="366">
        <v>0</v>
      </c>
      <c r="E128" s="366">
        <v>0</v>
      </c>
      <c r="F128" s="366">
        <v>0</v>
      </c>
      <c r="G128" s="367">
        <v>0</v>
      </c>
      <c r="H128" s="368">
        <v>0</v>
      </c>
      <c r="I128" s="368">
        <v>0</v>
      </c>
      <c r="J128" s="366">
        <v>0</v>
      </c>
      <c r="K128" s="369">
        <v>0</v>
      </c>
    </row>
    <row r="129" spans="1:11" outlineLevel="2" x14ac:dyDescent="0.25">
      <c r="A129" s="320"/>
      <c r="B129" s="618" t="str">
        <f t="shared" si="5"/>
        <v>Cathodic Protection</v>
      </c>
      <c r="C129" s="640">
        <v>0</v>
      </c>
      <c r="D129" s="366">
        <v>0</v>
      </c>
      <c r="E129" s="366">
        <v>0</v>
      </c>
      <c r="F129" s="366">
        <v>0</v>
      </c>
      <c r="G129" s="367">
        <v>0</v>
      </c>
      <c r="H129" s="368">
        <v>0</v>
      </c>
      <c r="I129" s="368">
        <v>0</v>
      </c>
      <c r="J129" s="366">
        <v>0</v>
      </c>
      <c r="K129" s="369">
        <v>0</v>
      </c>
    </row>
    <row r="130" spans="1:11" outlineLevel="2" x14ac:dyDescent="0.25">
      <c r="A130" s="320"/>
      <c r="B130" s="618" t="str">
        <f t="shared" si="5"/>
        <v>Supply Regulators / Valve Stations</v>
      </c>
      <c r="C130" s="640">
        <v>0</v>
      </c>
      <c r="D130" s="366">
        <v>0</v>
      </c>
      <c r="E130" s="366">
        <v>0</v>
      </c>
      <c r="F130" s="366">
        <v>0</v>
      </c>
      <c r="G130" s="367">
        <v>0</v>
      </c>
      <c r="H130" s="368">
        <v>0</v>
      </c>
      <c r="I130" s="368">
        <v>0</v>
      </c>
      <c r="J130" s="366">
        <v>0</v>
      </c>
      <c r="K130" s="369">
        <v>0</v>
      </c>
    </row>
    <row r="131" spans="1:11" outlineLevel="2" x14ac:dyDescent="0.25">
      <c r="A131" s="320"/>
      <c r="B131" s="618" t="str">
        <f t="shared" si="5"/>
        <v>Meters</v>
      </c>
      <c r="C131" s="640">
        <v>0</v>
      </c>
      <c r="D131" s="366">
        <v>0</v>
      </c>
      <c r="E131" s="366">
        <v>0</v>
      </c>
      <c r="F131" s="366">
        <v>0</v>
      </c>
      <c r="G131" s="367">
        <v>0</v>
      </c>
      <c r="H131" s="368">
        <v>0</v>
      </c>
      <c r="I131" s="368">
        <v>0</v>
      </c>
      <c r="J131" s="366">
        <v>0</v>
      </c>
      <c r="K131" s="369">
        <v>0</v>
      </c>
    </row>
    <row r="132" spans="1:11" s="1260" customFormat="1" outlineLevel="2" x14ac:dyDescent="0.25">
      <c r="A132" s="518"/>
      <c r="B132" s="618" t="str">
        <f t="shared" si="5"/>
        <v>SCADA and remote control</v>
      </c>
      <c r="C132" s="640">
        <v>0</v>
      </c>
      <c r="D132" s="366">
        <v>0</v>
      </c>
      <c r="E132" s="366">
        <v>0</v>
      </c>
      <c r="F132" s="366">
        <v>0</v>
      </c>
      <c r="G132" s="367">
        <v>0</v>
      </c>
      <c r="H132" s="368">
        <v>0</v>
      </c>
      <c r="I132" s="368">
        <v>0</v>
      </c>
      <c r="J132" s="366">
        <v>0</v>
      </c>
      <c r="K132" s="369">
        <v>0</v>
      </c>
    </row>
    <row r="133" spans="1:11" s="1260" customFormat="1" outlineLevel="2" x14ac:dyDescent="0.25">
      <c r="A133" s="518"/>
      <c r="B133" s="618" t="str">
        <f t="shared" si="5"/>
        <v>Other - IT</v>
      </c>
      <c r="C133" s="640">
        <v>0</v>
      </c>
      <c r="D133" s="366">
        <v>0</v>
      </c>
      <c r="E133" s="366">
        <v>0</v>
      </c>
      <c r="F133" s="366">
        <v>0</v>
      </c>
      <c r="G133" s="367">
        <v>0</v>
      </c>
      <c r="H133" s="368">
        <v>0</v>
      </c>
      <c r="I133" s="368">
        <v>0</v>
      </c>
      <c r="J133" s="366">
        <v>0</v>
      </c>
      <c r="K133" s="369">
        <v>0</v>
      </c>
    </row>
    <row r="134" spans="1:11" s="1260" customFormat="1" outlineLevel="2" x14ac:dyDescent="0.25">
      <c r="A134" s="518"/>
      <c r="B134" s="618" t="str">
        <f t="shared" si="5"/>
        <v>Other - non IT</v>
      </c>
      <c r="C134" s="640">
        <v>0</v>
      </c>
      <c r="D134" s="366">
        <v>0</v>
      </c>
      <c r="E134" s="366">
        <v>0</v>
      </c>
      <c r="F134" s="366">
        <v>0</v>
      </c>
      <c r="G134" s="367">
        <v>0</v>
      </c>
      <c r="H134" s="368">
        <v>0</v>
      </c>
      <c r="I134" s="368">
        <v>0</v>
      </c>
      <c r="J134" s="366">
        <v>595140.47</v>
      </c>
      <c r="K134" s="369">
        <v>0</v>
      </c>
    </row>
    <row r="135" spans="1:11" s="1260" customFormat="1" ht="25.5" outlineLevel="2" x14ac:dyDescent="0.25">
      <c r="A135" s="518"/>
      <c r="B135" s="618" t="str">
        <f t="shared" si="5"/>
        <v>Non-approved asset class - Non- Network Leasehold Land &amp; Buildings - CY19</v>
      </c>
      <c r="C135" s="640">
        <v>0</v>
      </c>
      <c r="D135" s="366">
        <v>0</v>
      </c>
      <c r="E135" s="366">
        <v>0</v>
      </c>
      <c r="F135" s="366">
        <v>0</v>
      </c>
      <c r="G135" s="367">
        <v>0</v>
      </c>
      <c r="H135" s="368">
        <v>0</v>
      </c>
      <c r="I135" s="368">
        <v>0</v>
      </c>
      <c r="J135" s="366">
        <v>0</v>
      </c>
      <c r="K135" s="369">
        <v>0</v>
      </c>
    </row>
    <row r="136" spans="1:11" s="1260" customFormat="1" outlineLevel="2" x14ac:dyDescent="0.25">
      <c r="A136" s="518"/>
      <c r="B136" s="618" t="str">
        <f t="shared" si="5"/>
        <v>Buildings</v>
      </c>
      <c r="C136" s="640">
        <v>0</v>
      </c>
      <c r="D136" s="366">
        <v>1028837.5499999999</v>
      </c>
      <c r="E136" s="366">
        <v>0</v>
      </c>
      <c r="F136" s="366">
        <v>0</v>
      </c>
      <c r="G136" s="367">
        <v>0</v>
      </c>
      <c r="H136" s="368">
        <v>0</v>
      </c>
      <c r="I136" s="368">
        <v>0</v>
      </c>
      <c r="J136" s="366">
        <v>0</v>
      </c>
      <c r="K136" s="369">
        <v>0</v>
      </c>
    </row>
    <row r="137" spans="1:11" s="1260" customFormat="1" outlineLevel="2" x14ac:dyDescent="0.25">
      <c r="A137" s="518"/>
      <c r="B137" s="618" t="str">
        <f t="shared" si="5"/>
        <v>Land</v>
      </c>
      <c r="C137" s="640">
        <v>0</v>
      </c>
      <c r="D137" s="366">
        <v>0</v>
      </c>
      <c r="E137" s="366">
        <v>0</v>
      </c>
      <c r="F137" s="366">
        <v>0</v>
      </c>
      <c r="G137" s="367">
        <v>0</v>
      </c>
      <c r="H137" s="368">
        <v>0</v>
      </c>
      <c r="I137" s="368">
        <v>0</v>
      </c>
      <c r="J137" s="366">
        <v>0</v>
      </c>
      <c r="K137" s="369">
        <v>0</v>
      </c>
    </row>
    <row r="138" spans="1:11" outlineLevel="2" x14ac:dyDescent="0.25">
      <c r="A138" s="320"/>
      <c r="B138" s="618" t="str">
        <f t="shared" si="5"/>
        <v/>
      </c>
      <c r="C138" s="640"/>
      <c r="D138" s="366"/>
      <c r="E138" s="366"/>
      <c r="F138" s="366"/>
      <c r="G138" s="367"/>
      <c r="H138" s="368"/>
      <c r="I138" s="368"/>
      <c r="J138" s="366"/>
      <c r="K138" s="369"/>
    </row>
    <row r="139" spans="1:11" outlineLevel="2" x14ac:dyDescent="0.25">
      <c r="A139" s="320"/>
      <c r="B139" s="618" t="str">
        <f t="shared" si="5"/>
        <v/>
      </c>
      <c r="C139" s="640"/>
      <c r="D139" s="366"/>
      <c r="E139" s="366"/>
      <c r="F139" s="366"/>
      <c r="G139" s="367"/>
      <c r="H139" s="368"/>
      <c r="I139" s="368"/>
      <c r="J139" s="366"/>
      <c r="K139" s="369"/>
    </row>
    <row r="140" spans="1:11" outlineLevel="2" x14ac:dyDescent="0.25">
      <c r="A140" s="320"/>
      <c r="B140" s="618" t="str">
        <f t="shared" si="5"/>
        <v/>
      </c>
      <c r="C140" s="640"/>
      <c r="D140" s="366"/>
      <c r="E140" s="366"/>
      <c r="F140" s="366"/>
      <c r="G140" s="367"/>
      <c r="H140" s="368"/>
      <c r="I140" s="368"/>
      <c r="J140" s="366"/>
      <c r="K140" s="369"/>
    </row>
    <row r="141" spans="1:11" outlineLevel="2" x14ac:dyDescent="0.25">
      <c r="A141" s="320"/>
      <c r="B141" s="618" t="str">
        <f t="shared" si="5"/>
        <v/>
      </c>
      <c r="C141" s="640"/>
      <c r="D141" s="366"/>
      <c r="E141" s="366"/>
      <c r="F141" s="366"/>
      <c r="G141" s="367"/>
      <c r="H141" s="368"/>
      <c r="I141" s="368"/>
      <c r="J141" s="366"/>
      <c r="K141" s="369"/>
    </row>
    <row r="142" spans="1:11" outlineLevel="2" x14ac:dyDescent="0.25">
      <c r="A142" s="320"/>
      <c r="B142" s="618" t="str">
        <f t="shared" si="5"/>
        <v/>
      </c>
      <c r="C142" s="640"/>
      <c r="D142" s="366"/>
      <c r="E142" s="366"/>
      <c r="F142" s="366"/>
      <c r="G142" s="367"/>
      <c r="H142" s="368"/>
      <c r="I142" s="368"/>
      <c r="J142" s="366"/>
      <c r="K142" s="369"/>
    </row>
    <row r="143" spans="1:11" outlineLevel="2" x14ac:dyDescent="0.25">
      <c r="A143" s="320"/>
      <c r="B143" s="618" t="str">
        <f t="shared" si="5"/>
        <v/>
      </c>
      <c r="C143" s="640"/>
      <c r="D143" s="366"/>
      <c r="E143" s="366"/>
      <c r="F143" s="366"/>
      <c r="G143" s="367"/>
      <c r="H143" s="368"/>
      <c r="I143" s="368"/>
      <c r="J143" s="366"/>
      <c r="K143" s="369"/>
    </row>
    <row r="144" spans="1:11" outlineLevel="2" x14ac:dyDescent="0.25">
      <c r="A144" s="320"/>
      <c r="B144" s="618" t="str">
        <f t="shared" si="5"/>
        <v/>
      </c>
      <c r="C144" s="640"/>
      <c r="D144" s="366"/>
      <c r="E144" s="366"/>
      <c r="F144" s="366"/>
      <c r="G144" s="367"/>
      <c r="H144" s="368"/>
      <c r="I144" s="368"/>
      <c r="J144" s="366"/>
      <c r="K144" s="369"/>
    </row>
    <row r="145" spans="1:12" outlineLevel="2" x14ac:dyDescent="0.25">
      <c r="A145" s="320"/>
      <c r="B145" s="618" t="str">
        <f t="shared" si="5"/>
        <v/>
      </c>
      <c r="C145" s="640"/>
      <c r="D145" s="366"/>
      <c r="E145" s="366"/>
      <c r="F145" s="366"/>
      <c r="G145" s="367"/>
      <c r="H145" s="368"/>
      <c r="I145" s="368"/>
      <c r="J145" s="366"/>
      <c r="K145" s="369"/>
    </row>
    <row r="146" spans="1:12" outlineLevel="2" x14ac:dyDescent="0.25">
      <c r="A146" s="320"/>
      <c r="B146" s="618" t="str">
        <f t="shared" si="5"/>
        <v/>
      </c>
      <c r="C146" s="640"/>
      <c r="D146" s="366"/>
      <c r="E146" s="366"/>
      <c r="F146" s="366"/>
      <c r="G146" s="367"/>
      <c r="H146" s="368"/>
      <c r="I146" s="368"/>
      <c r="J146" s="366"/>
      <c r="K146" s="369"/>
    </row>
    <row r="147" spans="1:12" outlineLevel="2" x14ac:dyDescent="0.25">
      <c r="A147" s="320"/>
      <c r="B147" s="618" t="str">
        <f t="shared" si="5"/>
        <v/>
      </c>
      <c r="C147" s="640"/>
      <c r="D147" s="366"/>
      <c r="E147" s="366"/>
      <c r="F147" s="366"/>
      <c r="G147" s="367"/>
      <c r="H147" s="368"/>
      <c r="I147" s="368"/>
      <c r="J147" s="366"/>
      <c r="K147" s="369"/>
    </row>
    <row r="148" spans="1:12" outlineLevel="2" x14ac:dyDescent="0.25">
      <c r="A148" s="320"/>
      <c r="B148" s="618" t="str">
        <f t="shared" si="5"/>
        <v/>
      </c>
      <c r="C148" s="640"/>
      <c r="D148" s="366"/>
      <c r="E148" s="366"/>
      <c r="F148" s="366"/>
      <c r="G148" s="367"/>
      <c r="H148" s="368"/>
      <c r="I148" s="368"/>
      <c r="J148" s="366"/>
      <c r="K148" s="369"/>
    </row>
    <row r="149" spans="1:12" outlineLevel="2" x14ac:dyDescent="0.25">
      <c r="A149" s="320"/>
      <c r="B149" s="618" t="str">
        <f t="shared" si="5"/>
        <v/>
      </c>
      <c r="C149" s="640"/>
      <c r="D149" s="366"/>
      <c r="E149" s="366"/>
      <c r="F149" s="366"/>
      <c r="G149" s="367"/>
      <c r="H149" s="368"/>
      <c r="I149" s="368"/>
      <c r="J149" s="366"/>
      <c r="K149" s="369"/>
    </row>
    <row r="150" spans="1:12" outlineLevel="2" x14ac:dyDescent="0.25">
      <c r="A150" s="320"/>
      <c r="B150" s="618" t="str">
        <f t="shared" si="5"/>
        <v/>
      </c>
      <c r="C150" s="640"/>
      <c r="D150" s="366"/>
      <c r="E150" s="366"/>
      <c r="F150" s="366"/>
      <c r="G150" s="367"/>
      <c r="H150" s="368"/>
      <c r="I150" s="368"/>
      <c r="J150" s="366"/>
      <c r="K150" s="369"/>
    </row>
    <row r="151" spans="1:12" outlineLevel="2" x14ac:dyDescent="0.25">
      <c r="A151" s="320"/>
      <c r="B151" s="618" t="str">
        <f t="shared" si="5"/>
        <v/>
      </c>
      <c r="C151" s="640"/>
      <c r="D151" s="366"/>
      <c r="E151" s="366"/>
      <c r="F151" s="366"/>
      <c r="G151" s="367"/>
      <c r="H151" s="368"/>
      <c r="I151" s="368"/>
      <c r="J151" s="366"/>
      <c r="K151" s="369"/>
    </row>
    <row r="152" spans="1:12" outlineLevel="2" x14ac:dyDescent="0.25">
      <c r="A152" s="320"/>
      <c r="B152" s="618" t="str">
        <f t="shared" si="5"/>
        <v/>
      </c>
      <c r="C152" s="640"/>
      <c r="D152" s="366"/>
      <c r="E152" s="366"/>
      <c r="F152" s="366"/>
      <c r="G152" s="367"/>
      <c r="H152" s="368"/>
      <c r="I152" s="368"/>
      <c r="J152" s="366"/>
      <c r="K152" s="369"/>
    </row>
    <row r="153" spans="1:12" outlineLevel="2" x14ac:dyDescent="0.25">
      <c r="A153" s="320"/>
      <c r="B153" s="618" t="str">
        <f t="shared" si="5"/>
        <v/>
      </c>
      <c r="C153" s="640"/>
      <c r="D153" s="366"/>
      <c r="E153" s="366"/>
      <c r="F153" s="366"/>
      <c r="G153" s="367"/>
      <c r="H153" s="368"/>
      <c r="I153" s="368"/>
      <c r="J153" s="366"/>
      <c r="K153" s="369"/>
    </row>
    <row r="154" spans="1:12" outlineLevel="2" x14ac:dyDescent="0.25">
      <c r="A154" s="320"/>
      <c r="B154" s="618" t="str">
        <f t="shared" si="5"/>
        <v/>
      </c>
      <c r="C154" s="640"/>
      <c r="D154" s="366"/>
      <c r="E154" s="366"/>
      <c r="F154" s="366"/>
      <c r="G154" s="367"/>
      <c r="H154" s="368"/>
      <c r="I154" s="368"/>
      <c r="J154" s="366"/>
      <c r="K154" s="369"/>
    </row>
    <row r="155" spans="1:12" ht="15.75" outlineLevel="2" thickBot="1" x14ac:dyDescent="0.3">
      <c r="A155" s="320"/>
      <c r="B155" s="618" t="str">
        <f t="shared" si="5"/>
        <v/>
      </c>
      <c r="C155" s="642"/>
      <c r="D155" s="455"/>
      <c r="E155" s="455"/>
      <c r="F155" s="455"/>
      <c r="G155" s="643"/>
      <c r="H155" s="454"/>
      <c r="I155" s="454"/>
      <c r="J155" s="455"/>
      <c r="K155" s="456"/>
    </row>
    <row r="156" spans="1:12" ht="15.75" outlineLevel="2" thickBot="1" x14ac:dyDescent="0.3">
      <c r="A156" s="320"/>
      <c r="B156" s="391" t="s">
        <v>640</v>
      </c>
      <c r="C156" s="392">
        <f>SUM(C126:C155)</f>
        <v>0</v>
      </c>
      <c r="D156" s="392">
        <f t="shared" ref="D156:K156" si="6">SUM(D126:D155)</f>
        <v>1028837.5499999999</v>
      </c>
      <c r="E156" s="392">
        <f t="shared" si="6"/>
        <v>0</v>
      </c>
      <c r="F156" s="392">
        <f t="shared" si="6"/>
        <v>0</v>
      </c>
      <c r="G156" s="392">
        <f t="shared" si="6"/>
        <v>0</v>
      </c>
      <c r="H156" s="392">
        <f t="shared" si="6"/>
        <v>0</v>
      </c>
      <c r="I156" s="392">
        <f t="shared" si="6"/>
        <v>0</v>
      </c>
      <c r="J156" s="392">
        <f t="shared" si="6"/>
        <v>595140.47</v>
      </c>
      <c r="K156" s="393">
        <f t="shared" si="6"/>
        <v>0</v>
      </c>
    </row>
    <row r="157" spans="1:12" ht="12" customHeight="1" outlineLevel="1" x14ac:dyDescent="0.25">
      <c r="A157" s="320"/>
      <c r="B157" s="321"/>
      <c r="C157" s="321"/>
      <c r="D157" s="321"/>
      <c r="E157" s="320"/>
      <c r="F157" s="320"/>
      <c r="G157" s="320"/>
      <c r="H157" s="320"/>
      <c r="I157" s="518"/>
      <c r="J157" s="320"/>
      <c r="K157" s="320"/>
    </row>
    <row r="159" spans="1:12" s="1326" customFormat="1" ht="15.75" thickBot="1" x14ac:dyDescent="0.3"/>
    <row r="160" spans="1:12" s="436" customFormat="1" ht="27.95" customHeight="1" thickBot="1" x14ac:dyDescent="0.3">
      <c r="A160"/>
      <c r="B160" s="84" t="s">
        <v>1211</v>
      </c>
      <c r="C160" s="84"/>
      <c r="D160" s="84"/>
      <c r="E160" s="84"/>
      <c r="F160" s="84"/>
      <c r="G160" s="84"/>
      <c r="H160" s="84"/>
      <c r="I160" s="84"/>
      <c r="J160" s="84"/>
      <c r="K160" s="84"/>
      <c r="L160" s="1260"/>
    </row>
    <row r="161" spans="2:11" ht="15.75" customHeight="1" outlineLevel="1" thickBot="1" x14ac:dyDescent="0.3">
      <c r="B161" s="308" t="s">
        <v>1217</v>
      </c>
      <c r="C161" s="309"/>
      <c r="D161" s="309"/>
      <c r="E161" s="309"/>
      <c r="F161" s="309"/>
      <c r="G161" s="309"/>
      <c r="H161" s="309"/>
      <c r="I161" s="309"/>
      <c r="J161" s="309"/>
      <c r="K161" s="309"/>
    </row>
    <row r="162" spans="2:11" ht="15" customHeight="1" outlineLevel="2" x14ac:dyDescent="0.25">
      <c r="B162" s="1277"/>
      <c r="C162" s="1659" t="s">
        <v>637</v>
      </c>
      <c r="D162" s="1659"/>
      <c r="E162" s="1659"/>
      <c r="F162" s="1659"/>
      <c r="G162" s="1659"/>
      <c r="H162" s="1659"/>
      <c r="I162" s="1659"/>
      <c r="J162" s="1659"/>
      <c r="K162" s="1660"/>
    </row>
    <row r="163" spans="2:11" ht="15" customHeight="1" outlineLevel="2" x14ac:dyDescent="0.25">
      <c r="B163" s="1260"/>
      <c r="C163" s="1661" t="s">
        <v>638</v>
      </c>
      <c r="D163" s="1661"/>
      <c r="E163" s="1661"/>
      <c r="F163" s="1661"/>
      <c r="G163" s="1661"/>
      <c r="H163" s="1661"/>
      <c r="I163" s="1661"/>
      <c r="J163" s="1661"/>
      <c r="K163" s="1662"/>
    </row>
    <row r="164" spans="2:11" ht="15.75" customHeight="1" outlineLevel="2" thickBot="1" x14ac:dyDescent="0.3">
      <c r="B164" s="1278" t="s">
        <v>1196</v>
      </c>
      <c r="C164" s="444">
        <f ca="1">dms_y1</f>
        <v>2011</v>
      </c>
      <c r="D164" s="445">
        <f ca="1">dms_y2</f>
        <v>2012</v>
      </c>
      <c r="E164" s="445">
        <f ca="1">dms_y3</f>
        <v>2013</v>
      </c>
      <c r="F164" s="445">
        <f ca="1">dms_y4</f>
        <v>2014</v>
      </c>
      <c r="G164" s="445">
        <f ca="1">dms_y5</f>
        <v>2015</v>
      </c>
      <c r="H164" s="1318">
        <f ca="1">dms_y6</f>
        <v>2016</v>
      </c>
      <c r="I164" s="1318">
        <f ca="1">dms_y7</f>
        <v>2017</v>
      </c>
      <c r="J164" s="1318">
        <f ca="1">dms_y8</f>
        <v>2018</v>
      </c>
      <c r="K164" s="1318">
        <f ca="1">dms_y9</f>
        <v>2019</v>
      </c>
    </row>
    <row r="165" spans="2:11" ht="15" customHeight="1" outlineLevel="2" x14ac:dyDescent="0.25">
      <c r="B165" s="618" t="str">
        <f t="shared" ref="B165:B194" si="7">IF(ISBLANK(B12),"",B12)</f>
        <v>Transmission Pipelines</v>
      </c>
      <c r="C165" s="1423">
        <v>5580.592356361386</v>
      </c>
      <c r="D165" s="1392">
        <v>14602.408159063038</v>
      </c>
      <c r="E165" s="1392">
        <v>66897.284368080713</v>
      </c>
      <c r="F165" s="1392">
        <v>758956.76191285998</v>
      </c>
      <c r="G165" s="1496">
        <v>20504.222930857606</v>
      </c>
      <c r="H165" s="1410">
        <v>-10.080480048523031</v>
      </c>
      <c r="I165" s="1410">
        <v>0</v>
      </c>
      <c r="J165" s="1392">
        <v>0</v>
      </c>
      <c r="K165" s="1497">
        <v>-178.32824998251971</v>
      </c>
    </row>
    <row r="166" spans="2:11" ht="15" customHeight="1" outlineLevel="2" x14ac:dyDescent="0.25">
      <c r="B166" s="618" t="str">
        <f t="shared" si="7"/>
        <v>Distribution Pipelines</v>
      </c>
      <c r="C166" s="1498">
        <v>4136807.9030587231</v>
      </c>
      <c r="D166" s="1393">
        <v>2219183.9361280906</v>
      </c>
      <c r="E166" s="1393">
        <v>997262.08756983595</v>
      </c>
      <c r="F166" s="1393">
        <v>1058151.8914564438</v>
      </c>
      <c r="G166" s="1394">
        <v>1063787.5607263073</v>
      </c>
      <c r="H166" s="1395">
        <v>662429.29846952576</v>
      </c>
      <c r="I166" s="1395">
        <v>2485724.4004018698</v>
      </c>
      <c r="J166" s="1393">
        <v>2751842.4280373361</v>
      </c>
      <c r="K166" s="1398">
        <v>1611975.7200423819</v>
      </c>
    </row>
    <row r="167" spans="2:11" ht="15" customHeight="1" outlineLevel="2" x14ac:dyDescent="0.25">
      <c r="B167" s="618" t="str">
        <f t="shared" si="7"/>
        <v>Service Pipes</v>
      </c>
      <c r="C167" s="1498">
        <v>3457612.1988279526</v>
      </c>
      <c r="D167" s="1393">
        <v>1747757.4292478131</v>
      </c>
      <c r="E167" s="1393">
        <v>754160.90823301347</v>
      </c>
      <c r="F167" s="1393">
        <v>1396430.177092975</v>
      </c>
      <c r="G167" s="1394">
        <v>1175754.8864070158</v>
      </c>
      <c r="H167" s="1395">
        <v>1331230.2640180455</v>
      </c>
      <c r="I167" s="1395">
        <v>2854892.5228114133</v>
      </c>
      <c r="J167" s="1393">
        <v>1532701.8749413562</v>
      </c>
      <c r="K167" s="1398">
        <v>1377298.3016066761</v>
      </c>
    </row>
    <row r="168" spans="2:11" ht="15" customHeight="1" outlineLevel="2" x14ac:dyDescent="0.25">
      <c r="B168" s="618" t="str">
        <f t="shared" si="7"/>
        <v>Cathodic Protection</v>
      </c>
      <c r="C168" s="1498">
        <v>6382.0435185235492</v>
      </c>
      <c r="D168" s="1393">
        <v>10366.501146156847</v>
      </c>
      <c r="E168" s="1393">
        <v>18802.595099464364</v>
      </c>
      <c r="F168" s="1393">
        <v>13180.551965829811</v>
      </c>
      <c r="G168" s="1394">
        <v>6590.1865792991193</v>
      </c>
      <c r="H168" s="1395">
        <v>11448.846544588445</v>
      </c>
      <c r="I168" s="1395">
        <v>10804.735685081798</v>
      </c>
      <c r="J168" s="1393">
        <v>5953.9638939526203</v>
      </c>
      <c r="K168" s="1398">
        <v>7254.988051606465</v>
      </c>
    </row>
    <row r="169" spans="2:11" ht="15" customHeight="1" outlineLevel="2" x14ac:dyDescent="0.25">
      <c r="B169" s="618" t="str">
        <f t="shared" si="7"/>
        <v>Supply Regulators / Valve Stations</v>
      </c>
      <c r="C169" s="1498">
        <v>9976.1320728799565</v>
      </c>
      <c r="D169" s="1393">
        <v>73627.56455578719</v>
      </c>
      <c r="E169" s="1393">
        <v>102035.98669859975</v>
      </c>
      <c r="F169" s="1393">
        <v>228881.76750599666</v>
      </c>
      <c r="G169" s="1394">
        <v>128080.99816188581</v>
      </c>
      <c r="H169" s="1395">
        <v>68987.882892002148</v>
      </c>
      <c r="I169" s="1395">
        <v>297033.93695233297</v>
      </c>
      <c r="J169" s="1393">
        <v>101532.59285783053</v>
      </c>
      <c r="K169" s="1398">
        <v>23411.57162432633</v>
      </c>
    </row>
    <row r="170" spans="2:11" ht="15" customHeight="1" outlineLevel="2" x14ac:dyDescent="0.25">
      <c r="B170" s="618" t="str">
        <f t="shared" si="7"/>
        <v>Meters</v>
      </c>
      <c r="C170" s="1498">
        <v>61673.366079376239</v>
      </c>
      <c r="D170" s="1393">
        <v>235521.23791603241</v>
      </c>
      <c r="E170" s="1393">
        <v>375494.78431510006</v>
      </c>
      <c r="F170" s="1393">
        <v>407424.42303999385</v>
      </c>
      <c r="G170" s="1394">
        <v>278017.4398655339</v>
      </c>
      <c r="H170" s="1395">
        <v>432778.53209824109</v>
      </c>
      <c r="I170" s="1395">
        <v>836121.51796311443</v>
      </c>
      <c r="J170" s="1393">
        <v>935402.39472235017</v>
      </c>
      <c r="K170" s="1398">
        <v>598222.21482286544</v>
      </c>
    </row>
    <row r="171" spans="2:11" ht="15" customHeight="1" outlineLevel="2" x14ac:dyDescent="0.25">
      <c r="B171" s="618" t="str">
        <f t="shared" si="7"/>
        <v>SCADA and remote control</v>
      </c>
      <c r="C171" s="1498">
        <v>6140.3479387055495</v>
      </c>
      <c r="D171" s="1393">
        <v>8826.7804060426897</v>
      </c>
      <c r="E171" s="1393">
        <v>20663.146049146762</v>
      </c>
      <c r="F171" s="1393">
        <v>10824.87821694484</v>
      </c>
      <c r="G171" s="1394">
        <v>15159.600333430451</v>
      </c>
      <c r="H171" s="1395">
        <v>13872.963100591052</v>
      </c>
      <c r="I171" s="1395">
        <v>21404.290891853198</v>
      </c>
      <c r="J171" s="1393">
        <v>19774.238115377895</v>
      </c>
      <c r="K171" s="1398">
        <v>15361.274419404946</v>
      </c>
    </row>
    <row r="172" spans="2:11" ht="15" customHeight="1" outlineLevel="2" x14ac:dyDescent="0.25">
      <c r="B172" s="618" t="str">
        <f t="shared" si="7"/>
        <v>Other - IT</v>
      </c>
      <c r="C172" s="1498">
        <v>85308.586835202834</v>
      </c>
      <c r="D172" s="1393">
        <v>394452.19934322836</v>
      </c>
      <c r="E172" s="1393">
        <v>492603.13742354611</v>
      </c>
      <c r="F172" s="1393">
        <v>491020.93591373158</v>
      </c>
      <c r="G172" s="1394">
        <v>275226.59727250371</v>
      </c>
      <c r="H172" s="1395">
        <v>107242.04876438392</v>
      </c>
      <c r="I172" s="1395">
        <v>404574.09462096181</v>
      </c>
      <c r="J172" s="1393">
        <v>523765.33511010325</v>
      </c>
      <c r="K172" s="1398">
        <v>294173.65612729784</v>
      </c>
    </row>
    <row r="173" spans="2:11" ht="15" customHeight="1" outlineLevel="2" x14ac:dyDescent="0.25">
      <c r="B173" s="618" t="str">
        <f t="shared" si="7"/>
        <v>Other - non IT</v>
      </c>
      <c r="C173" s="1498">
        <v>3538.5393122770647</v>
      </c>
      <c r="D173" s="1393">
        <v>6730.0430977862388</v>
      </c>
      <c r="E173" s="1393">
        <v>14513.570243213222</v>
      </c>
      <c r="F173" s="1393">
        <v>1942.3628952245608</v>
      </c>
      <c r="G173" s="1394">
        <v>12016.507723166244</v>
      </c>
      <c r="H173" s="1395">
        <v>18009.244592670057</v>
      </c>
      <c r="I173" s="1395">
        <v>92376.250673374147</v>
      </c>
      <c r="J173" s="1393">
        <v>44452.922321693448</v>
      </c>
      <c r="K173" s="1398">
        <v>10095.546555423658</v>
      </c>
    </row>
    <row r="174" spans="2:11" ht="15" customHeight="1" outlineLevel="2" x14ac:dyDescent="0.25">
      <c r="B174" s="618" t="str">
        <f t="shared" si="7"/>
        <v>Non-approved asset class - Non- Network Leasehold Land &amp; Buildings - CY19</v>
      </c>
      <c r="C174" s="1498">
        <v>0</v>
      </c>
      <c r="D174" s="1393">
        <v>0</v>
      </c>
      <c r="E174" s="1393">
        <v>0</v>
      </c>
      <c r="F174" s="1393">
        <v>0</v>
      </c>
      <c r="G174" s="1394">
        <v>0</v>
      </c>
      <c r="H174" s="1395">
        <v>0</v>
      </c>
      <c r="I174" s="1395">
        <v>0</v>
      </c>
      <c r="J174" s="1393">
        <v>0</v>
      </c>
      <c r="K174" s="1398">
        <v>0</v>
      </c>
    </row>
    <row r="175" spans="2:11" ht="15" customHeight="1" outlineLevel="2" x14ac:dyDescent="0.25">
      <c r="B175" s="618" t="str">
        <f t="shared" si="7"/>
        <v>Buildings</v>
      </c>
      <c r="C175" s="1498">
        <v>0</v>
      </c>
      <c r="D175" s="1393">
        <v>0</v>
      </c>
      <c r="E175" s="1393">
        <v>0</v>
      </c>
      <c r="F175" s="1393">
        <v>0</v>
      </c>
      <c r="G175" s="1394">
        <v>0</v>
      </c>
      <c r="H175" s="1395">
        <v>0</v>
      </c>
      <c r="I175" s="1395">
        <v>0</v>
      </c>
      <c r="J175" s="1393">
        <v>0</v>
      </c>
      <c r="K175" s="1398">
        <v>0</v>
      </c>
    </row>
    <row r="176" spans="2:11" ht="15" customHeight="1" outlineLevel="2" x14ac:dyDescent="0.25">
      <c r="B176" s="618" t="str">
        <f t="shared" si="7"/>
        <v>Land</v>
      </c>
      <c r="C176" s="1498">
        <v>0</v>
      </c>
      <c r="D176" s="1393">
        <v>0</v>
      </c>
      <c r="E176" s="1393">
        <v>0</v>
      </c>
      <c r="F176" s="1393">
        <v>0</v>
      </c>
      <c r="G176" s="1394">
        <v>0</v>
      </c>
      <c r="H176" s="1395">
        <v>0</v>
      </c>
      <c r="I176" s="1395">
        <v>0</v>
      </c>
      <c r="J176" s="1393">
        <v>0</v>
      </c>
      <c r="K176" s="1398">
        <v>0</v>
      </c>
    </row>
    <row r="177" spans="2:11" ht="15" customHeight="1" outlineLevel="2" x14ac:dyDescent="0.25">
      <c r="B177" s="618" t="str">
        <f t="shared" si="7"/>
        <v/>
      </c>
      <c r="C177" s="640"/>
      <c r="D177" s="366"/>
      <c r="E177" s="366"/>
      <c r="F177" s="366"/>
      <c r="G177" s="367"/>
      <c r="H177" s="368"/>
      <c r="I177" s="368"/>
      <c r="J177" s="366"/>
      <c r="K177" s="369"/>
    </row>
    <row r="178" spans="2:11" ht="15" customHeight="1" outlineLevel="2" x14ac:dyDescent="0.25">
      <c r="B178" s="618" t="str">
        <f t="shared" si="7"/>
        <v/>
      </c>
      <c r="C178" s="640"/>
      <c r="D178" s="366"/>
      <c r="E178" s="366"/>
      <c r="F178" s="366"/>
      <c r="G178" s="367"/>
      <c r="H178" s="368"/>
      <c r="I178" s="368"/>
      <c r="J178" s="366"/>
      <c r="K178" s="369"/>
    </row>
    <row r="179" spans="2:11" ht="15" customHeight="1" outlineLevel="2" x14ac:dyDescent="0.25">
      <c r="B179" s="618" t="str">
        <f t="shared" si="7"/>
        <v/>
      </c>
      <c r="C179" s="640"/>
      <c r="D179" s="366"/>
      <c r="E179" s="366"/>
      <c r="F179" s="366"/>
      <c r="G179" s="367"/>
      <c r="H179" s="368"/>
      <c r="I179" s="368"/>
      <c r="J179" s="366"/>
      <c r="K179" s="369"/>
    </row>
    <row r="180" spans="2:11" ht="15" customHeight="1" outlineLevel="2" x14ac:dyDescent="0.25">
      <c r="B180" s="618" t="str">
        <f t="shared" si="7"/>
        <v/>
      </c>
      <c r="C180" s="640"/>
      <c r="D180" s="366"/>
      <c r="E180" s="366"/>
      <c r="F180" s="366"/>
      <c r="G180" s="367"/>
      <c r="H180" s="368"/>
      <c r="I180" s="368"/>
      <c r="J180" s="366"/>
      <c r="K180" s="369"/>
    </row>
    <row r="181" spans="2:11" ht="15" customHeight="1" outlineLevel="2" x14ac:dyDescent="0.25">
      <c r="B181" s="618" t="str">
        <f t="shared" si="7"/>
        <v/>
      </c>
      <c r="C181" s="640"/>
      <c r="D181" s="366"/>
      <c r="E181" s="366"/>
      <c r="F181" s="366"/>
      <c r="G181" s="367"/>
      <c r="H181" s="368"/>
      <c r="I181" s="368"/>
      <c r="J181" s="366"/>
      <c r="K181" s="369"/>
    </row>
    <row r="182" spans="2:11" ht="15" customHeight="1" outlineLevel="2" x14ac:dyDescent="0.25">
      <c r="B182" s="618" t="str">
        <f t="shared" si="7"/>
        <v/>
      </c>
      <c r="C182" s="640"/>
      <c r="D182" s="366"/>
      <c r="E182" s="366"/>
      <c r="F182" s="366"/>
      <c r="G182" s="367"/>
      <c r="H182" s="368"/>
      <c r="I182" s="368"/>
      <c r="J182" s="366"/>
      <c r="K182" s="369"/>
    </row>
    <row r="183" spans="2:11" ht="15" customHeight="1" outlineLevel="2" x14ac:dyDescent="0.25">
      <c r="B183" s="618" t="str">
        <f t="shared" si="7"/>
        <v/>
      </c>
      <c r="C183" s="640"/>
      <c r="D183" s="366"/>
      <c r="E183" s="366"/>
      <c r="F183" s="366"/>
      <c r="G183" s="367"/>
      <c r="H183" s="368"/>
      <c r="I183" s="368"/>
      <c r="J183" s="366"/>
      <c r="K183" s="369"/>
    </row>
    <row r="184" spans="2:11" ht="15" customHeight="1" outlineLevel="2" x14ac:dyDescent="0.25">
      <c r="B184" s="618" t="str">
        <f t="shared" si="7"/>
        <v/>
      </c>
      <c r="C184" s="640"/>
      <c r="D184" s="366"/>
      <c r="E184" s="366"/>
      <c r="F184" s="366"/>
      <c r="G184" s="367"/>
      <c r="H184" s="368"/>
      <c r="I184" s="368"/>
      <c r="J184" s="366"/>
      <c r="K184" s="369"/>
    </row>
    <row r="185" spans="2:11" ht="15" customHeight="1" outlineLevel="2" x14ac:dyDescent="0.25">
      <c r="B185" s="618" t="str">
        <f t="shared" si="7"/>
        <v/>
      </c>
      <c r="C185" s="640"/>
      <c r="D185" s="366"/>
      <c r="E185" s="366"/>
      <c r="F185" s="366"/>
      <c r="G185" s="367"/>
      <c r="H185" s="368"/>
      <c r="I185" s="368"/>
      <c r="J185" s="366"/>
      <c r="K185" s="369"/>
    </row>
    <row r="186" spans="2:11" ht="15" customHeight="1" outlineLevel="2" x14ac:dyDescent="0.25">
      <c r="B186" s="618" t="str">
        <f t="shared" si="7"/>
        <v/>
      </c>
      <c r="C186" s="640"/>
      <c r="D186" s="366"/>
      <c r="E186" s="366"/>
      <c r="F186" s="366"/>
      <c r="G186" s="367"/>
      <c r="H186" s="368"/>
      <c r="I186" s="368"/>
      <c r="J186" s="366"/>
      <c r="K186" s="369"/>
    </row>
    <row r="187" spans="2:11" ht="15" customHeight="1" outlineLevel="2" x14ac:dyDescent="0.25">
      <c r="B187" s="618" t="str">
        <f t="shared" si="7"/>
        <v/>
      </c>
      <c r="C187" s="640"/>
      <c r="D187" s="366"/>
      <c r="E187" s="366"/>
      <c r="F187" s="366"/>
      <c r="G187" s="367"/>
      <c r="H187" s="368"/>
      <c r="I187" s="368"/>
      <c r="J187" s="366"/>
      <c r="K187" s="369"/>
    </row>
    <row r="188" spans="2:11" ht="15" customHeight="1" outlineLevel="2" x14ac:dyDescent="0.25">
      <c r="B188" s="618" t="str">
        <f t="shared" si="7"/>
        <v/>
      </c>
      <c r="C188" s="640"/>
      <c r="D188" s="366"/>
      <c r="E188" s="366"/>
      <c r="F188" s="366"/>
      <c r="G188" s="367"/>
      <c r="H188" s="368"/>
      <c r="I188" s="368"/>
      <c r="J188" s="366"/>
      <c r="K188" s="369"/>
    </row>
    <row r="189" spans="2:11" ht="15" customHeight="1" outlineLevel="2" x14ac:dyDescent="0.25">
      <c r="B189" s="618" t="str">
        <f t="shared" si="7"/>
        <v/>
      </c>
      <c r="C189" s="640"/>
      <c r="D189" s="366"/>
      <c r="E189" s="366"/>
      <c r="F189" s="366"/>
      <c r="G189" s="367"/>
      <c r="H189" s="368"/>
      <c r="I189" s="368"/>
      <c r="J189" s="366"/>
      <c r="K189" s="369"/>
    </row>
    <row r="190" spans="2:11" ht="15" customHeight="1" outlineLevel="2" x14ac:dyDescent="0.25">
      <c r="B190" s="618" t="str">
        <f t="shared" si="7"/>
        <v/>
      </c>
      <c r="C190" s="640"/>
      <c r="D190" s="366"/>
      <c r="E190" s="366"/>
      <c r="F190" s="366"/>
      <c r="G190" s="367"/>
      <c r="H190" s="368"/>
      <c r="I190" s="368"/>
      <c r="J190" s="366"/>
      <c r="K190" s="369"/>
    </row>
    <row r="191" spans="2:11" ht="15" customHeight="1" outlineLevel="2" x14ac:dyDescent="0.25">
      <c r="B191" s="618" t="str">
        <f t="shared" si="7"/>
        <v/>
      </c>
      <c r="C191" s="640"/>
      <c r="D191" s="366"/>
      <c r="E191" s="366"/>
      <c r="F191" s="366"/>
      <c r="G191" s="367"/>
      <c r="H191" s="368"/>
      <c r="I191" s="368"/>
      <c r="J191" s="366"/>
      <c r="K191" s="369"/>
    </row>
    <row r="192" spans="2:11" ht="15" customHeight="1" outlineLevel="2" x14ac:dyDescent="0.25">
      <c r="B192" s="618" t="str">
        <f t="shared" si="7"/>
        <v/>
      </c>
      <c r="C192" s="640"/>
      <c r="D192" s="366"/>
      <c r="E192" s="366"/>
      <c r="F192" s="366"/>
      <c r="G192" s="367"/>
      <c r="H192" s="368"/>
      <c r="I192" s="368"/>
      <c r="J192" s="366"/>
      <c r="K192" s="369"/>
    </row>
    <row r="193" spans="2:11" ht="15" customHeight="1" outlineLevel="2" x14ac:dyDescent="0.25">
      <c r="B193" s="618" t="str">
        <f t="shared" si="7"/>
        <v/>
      </c>
      <c r="C193" s="640"/>
      <c r="D193" s="366"/>
      <c r="E193" s="366"/>
      <c r="F193" s="366"/>
      <c r="G193" s="367"/>
      <c r="H193" s="368"/>
      <c r="I193" s="368"/>
      <c r="J193" s="366"/>
      <c r="K193" s="369"/>
    </row>
    <row r="194" spans="2:11" ht="15" customHeight="1" outlineLevel="2" thickBot="1" x14ac:dyDescent="0.3">
      <c r="B194" s="618" t="str">
        <f t="shared" si="7"/>
        <v/>
      </c>
      <c r="C194" s="640"/>
      <c r="D194" s="366"/>
      <c r="E194" s="366"/>
      <c r="F194" s="366"/>
      <c r="G194" s="367"/>
      <c r="H194" s="368"/>
      <c r="I194" s="368"/>
      <c r="J194" s="366"/>
      <c r="K194" s="369"/>
    </row>
    <row r="195" spans="2:11" ht="15.75" customHeight="1" outlineLevel="2" thickBot="1" x14ac:dyDescent="0.3">
      <c r="B195" s="391" t="s">
        <v>640</v>
      </c>
      <c r="C195" s="392">
        <f t="shared" ref="C195:K195" si="8">SUM(C165:C194)</f>
        <v>7773019.7100000018</v>
      </c>
      <c r="D195" s="392">
        <f t="shared" si="8"/>
        <v>4711068.1000000015</v>
      </c>
      <c r="E195" s="392">
        <f t="shared" si="8"/>
        <v>2842433.5</v>
      </c>
      <c r="F195" s="392">
        <f t="shared" si="8"/>
        <v>4366813.75</v>
      </c>
      <c r="G195" s="392">
        <f t="shared" si="8"/>
        <v>2975138</v>
      </c>
      <c r="H195" s="392">
        <f t="shared" si="8"/>
        <v>2645988.9999999991</v>
      </c>
      <c r="I195" s="392">
        <f t="shared" si="8"/>
        <v>7002931.7500000009</v>
      </c>
      <c r="J195" s="392">
        <f t="shared" si="8"/>
        <v>5915425.7499999991</v>
      </c>
      <c r="K195" s="393">
        <f t="shared" si="8"/>
        <v>3937614.9450000003</v>
      </c>
    </row>
    <row r="196" spans="2:11" outlineLevel="1" x14ac:dyDescent="0.25"/>
  </sheetData>
  <mergeCells count="10">
    <mergeCell ref="C9:K9"/>
    <mergeCell ref="C10:K10"/>
    <mergeCell ref="C45:K45"/>
    <mergeCell ref="C46:K46"/>
    <mergeCell ref="C162:K162"/>
    <mergeCell ref="C163:K163"/>
    <mergeCell ref="C124:K124"/>
    <mergeCell ref="C84:K84"/>
    <mergeCell ref="C85:K85"/>
    <mergeCell ref="C123:K123"/>
  </mergeCells>
  <pageMargins left="0.7" right="0.7" top="0.75" bottom="0.75" header="0.3" footer="0.3"/>
  <pageSetup paperSize="9" orientation="portrait" r:id="rId1"/>
  <customProperties>
    <customPr name="_pios_id" r:id="rId2"/>
    <customPr name="EpmWorksheetKeyString_GUID" r:id="rId3"/>
  </customProperties>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59999389629810485"/>
  </sheetPr>
  <dimension ref="A1:K146"/>
  <sheetViews>
    <sheetView showGridLines="0" zoomScale="70" zoomScaleNormal="70" workbookViewId="0">
      <selection activeCell="A2" sqref="A2"/>
    </sheetView>
  </sheetViews>
  <sheetFormatPr defaultColWidth="9.140625" defaultRowHeight="15" outlineLevelRow="1" x14ac:dyDescent="0.25"/>
  <cols>
    <col min="1" max="1" width="22.7109375" customWidth="1"/>
    <col min="2" max="2" width="106.7109375" customWidth="1"/>
    <col min="3" max="8" width="20.7109375" customWidth="1"/>
    <col min="9" max="9" width="20.7109375" style="1294" customWidth="1"/>
    <col min="10" max="11" width="20.7109375" customWidth="1"/>
  </cols>
  <sheetData>
    <row r="1" spans="1:11" ht="30" customHeight="1" x14ac:dyDescent="0.25">
      <c r="B1" s="103" t="s">
        <v>642</v>
      </c>
      <c r="C1" s="76"/>
      <c r="D1" s="76"/>
      <c r="E1" s="76"/>
      <c r="F1" s="76"/>
      <c r="G1" s="76"/>
      <c r="H1" s="76"/>
      <c r="I1" s="76"/>
      <c r="J1" s="76"/>
      <c r="K1" s="76"/>
    </row>
    <row r="2" spans="1:11" ht="30" customHeight="1" x14ac:dyDescent="0.25">
      <c r="B2" s="103" t="str">
        <f>INDEX(dms_TradingNameFull_List,MATCH(dms_TradingName,dms_TradingName_List))</f>
        <v>AusNet Gas Services</v>
      </c>
      <c r="C2" s="76"/>
      <c r="D2" s="76"/>
      <c r="E2" s="76"/>
      <c r="F2" s="76"/>
      <c r="G2" s="76"/>
      <c r="H2" s="76"/>
      <c r="I2" s="76"/>
      <c r="J2" s="76"/>
      <c r="K2" s="76"/>
    </row>
    <row r="3" spans="1:11" ht="30" customHeight="1" x14ac:dyDescent="0.25">
      <c r="B3" s="103" t="s">
        <v>643</v>
      </c>
      <c r="C3" s="76"/>
      <c r="D3" s="76"/>
      <c r="E3" s="76"/>
      <c r="F3" s="76"/>
      <c r="G3" s="76"/>
      <c r="H3" s="76"/>
      <c r="I3" s="76"/>
      <c r="J3" s="76"/>
      <c r="K3" s="76"/>
    </row>
    <row r="4" spans="1:11" ht="30" customHeight="1" x14ac:dyDescent="0.25">
      <c r="B4" s="83" t="s">
        <v>661</v>
      </c>
      <c r="C4" s="323"/>
      <c r="D4" s="323"/>
      <c r="E4" s="323"/>
      <c r="F4" s="323"/>
      <c r="G4" s="323"/>
      <c r="H4" s="323"/>
      <c r="I4" s="323"/>
      <c r="J4" s="323"/>
      <c r="K4" s="323"/>
    </row>
    <row r="5" spans="1:11" ht="30" customHeight="1" thickBot="1" x14ac:dyDescent="0.3"/>
    <row r="6" spans="1:11" s="345" customFormat="1" ht="30.75" customHeight="1" thickBot="1" x14ac:dyDescent="0.3">
      <c r="A6" s="320"/>
      <c r="B6" s="84" t="s">
        <v>884</v>
      </c>
      <c r="C6" s="84"/>
      <c r="D6" s="84"/>
      <c r="E6" s="84"/>
      <c r="F6" s="84"/>
      <c r="G6" s="84"/>
      <c r="H6" s="84"/>
      <c r="I6" s="84"/>
      <c r="J6" s="84"/>
      <c r="K6" s="84"/>
    </row>
    <row r="7" spans="1:11" s="521" customFormat="1" ht="30.75" customHeight="1" outlineLevel="1" thickBot="1" x14ac:dyDescent="0.3">
      <c r="A7" s="518"/>
      <c r="B7" s="308" t="s">
        <v>889</v>
      </c>
      <c r="C7" s="309"/>
      <c r="D7" s="309"/>
      <c r="E7" s="309"/>
      <c r="F7" s="309"/>
      <c r="G7" s="309"/>
      <c r="H7" s="309"/>
      <c r="I7" s="309"/>
      <c r="J7" s="309"/>
      <c r="K7" s="310"/>
    </row>
    <row r="8" spans="1:11" s="345" customFormat="1" ht="38.25" customHeight="1" outlineLevel="1" x14ac:dyDescent="0.3">
      <c r="A8" s="320"/>
      <c r="B8" s="604"/>
      <c r="C8" s="1687" t="s">
        <v>662</v>
      </c>
      <c r="D8" s="1688"/>
      <c r="E8" s="1688"/>
      <c r="F8" s="1688"/>
      <c r="G8" s="1688"/>
      <c r="H8" s="1688"/>
      <c r="I8" s="1688"/>
      <c r="J8" s="1688"/>
      <c r="K8" s="1689"/>
    </row>
    <row r="9" spans="1:11" s="345" customFormat="1" ht="26.25" customHeight="1" outlineLevel="1" x14ac:dyDescent="0.25">
      <c r="A9" s="320"/>
      <c r="C9" s="1690" t="s">
        <v>638</v>
      </c>
      <c r="D9" s="1691"/>
      <c r="E9" s="1691"/>
      <c r="F9" s="1691"/>
      <c r="G9" s="1691"/>
      <c r="H9" s="1691"/>
      <c r="I9" s="1691"/>
      <c r="J9" s="1691"/>
      <c r="K9" s="1692"/>
    </row>
    <row r="10" spans="1:11" s="345" customFormat="1" ht="15.75" outlineLevel="1" thickBot="1" x14ac:dyDescent="0.3">
      <c r="A10"/>
      <c r="B10" s="1284" t="s">
        <v>854</v>
      </c>
      <c r="C10" s="444">
        <f ca="1">dms_y1</f>
        <v>2011</v>
      </c>
      <c r="D10" s="445">
        <f ca="1">dms_y2</f>
        <v>2012</v>
      </c>
      <c r="E10" s="445">
        <f ca="1">dms_y3</f>
        <v>2013</v>
      </c>
      <c r="F10" s="445">
        <f ca="1">dms_y4</f>
        <v>2014</v>
      </c>
      <c r="G10" s="445">
        <f ca="1">dms_y5</f>
        <v>2015</v>
      </c>
      <c r="H10" s="1318">
        <f ca="1">dms_y6</f>
        <v>2016</v>
      </c>
      <c r="I10" s="1318">
        <f ca="1">dms_y7</f>
        <v>2017</v>
      </c>
      <c r="J10" s="1318">
        <f ca="1">dms_y8</f>
        <v>2018</v>
      </c>
      <c r="K10" s="1318">
        <f ca="1">dms_y9</f>
        <v>2019</v>
      </c>
    </row>
    <row r="11" spans="1:11" s="345" customFormat="1" outlineLevel="1" x14ac:dyDescent="0.25">
      <c r="A11" s="320"/>
      <c r="B11" s="1283" t="str">
        <f>IF(ISBLANK('N1. Demand'!B20),"",'N1. Demand'!B20)</f>
        <v>Tariff V Central Domestic</v>
      </c>
      <c r="C11" s="348">
        <v>139037306.19197708</v>
      </c>
      <c r="D11" s="330">
        <v>151099320.33154431</v>
      </c>
      <c r="E11" s="330">
        <v>135109730.31349999</v>
      </c>
      <c r="F11" s="330">
        <v>120438884.9522</v>
      </c>
      <c r="G11" s="472">
        <v>134808675.13050002</v>
      </c>
      <c r="H11" s="329">
        <v>143561130.98340002</v>
      </c>
      <c r="I11" s="348">
        <v>159267918.70829999</v>
      </c>
      <c r="J11" s="330">
        <v>144240346.3635</v>
      </c>
      <c r="K11" s="331">
        <v>153246211.19149998</v>
      </c>
    </row>
    <row r="12" spans="1:11" s="345" customFormat="1" outlineLevel="1" x14ac:dyDescent="0.25">
      <c r="A12" s="320"/>
      <c r="B12" s="618" t="str">
        <f>IF(ISBLANK('N1. Demand'!B21),"",'N1. Demand'!B21)</f>
        <v>Tariff V Central Non-Domestic</v>
      </c>
      <c r="C12" s="349">
        <v>8559731.6387488414</v>
      </c>
      <c r="D12" s="334">
        <v>9062507.8587019276</v>
      </c>
      <c r="E12" s="334">
        <v>8458268.3147999998</v>
      </c>
      <c r="F12" s="334">
        <v>7480604.2253999999</v>
      </c>
      <c r="G12" s="486">
        <v>6683687.3263999997</v>
      </c>
      <c r="H12" s="333">
        <v>7086386.3213999998</v>
      </c>
      <c r="I12" s="349">
        <v>5532639.6821000008</v>
      </c>
      <c r="J12" s="334">
        <v>5079135.8430000003</v>
      </c>
      <c r="K12" s="299">
        <v>4829042.0549000008</v>
      </c>
    </row>
    <row r="13" spans="1:11" s="521" customFormat="1" outlineLevel="1" x14ac:dyDescent="0.25">
      <c r="A13" s="518"/>
      <c r="B13" s="618" t="str">
        <f>IF(ISBLANK('N1. Demand'!B22),"",'N1. Demand'!B22)</f>
        <v>Tariff V Adjoining Central Domestic</v>
      </c>
      <c r="C13" s="349">
        <v>220356.12172980647</v>
      </c>
      <c r="D13" s="334">
        <v>274449.72959665017</v>
      </c>
      <c r="E13" s="334">
        <v>268307.19750000001</v>
      </c>
      <c r="F13" s="334">
        <v>263968.33510000003</v>
      </c>
      <c r="G13" s="486">
        <v>326391.42420000001</v>
      </c>
      <c r="H13" s="333">
        <v>545618.25450000004</v>
      </c>
      <c r="I13" s="349">
        <v>639617.51130000001</v>
      </c>
      <c r="J13" s="334">
        <v>592419.28359999985</v>
      </c>
      <c r="K13" s="299">
        <v>621442.17489999998</v>
      </c>
    </row>
    <row r="14" spans="1:11" s="521" customFormat="1" outlineLevel="1" x14ac:dyDescent="0.25">
      <c r="A14" s="518"/>
      <c r="B14" s="618" t="str">
        <f>IF(ISBLANK('N1. Demand'!B23),"",'N1. Demand'!B23)</f>
        <v>Tariff V Adjoining Central Non-Domestic</v>
      </c>
      <c r="C14" s="349">
        <v>9283.2380166293151</v>
      </c>
      <c r="D14" s="334">
        <v>9037.4359111341746</v>
      </c>
      <c r="E14" s="334">
        <v>7965.7349000000022</v>
      </c>
      <c r="F14" s="334">
        <v>7207.9477000000006</v>
      </c>
      <c r="G14" s="486">
        <v>6446.3560000000007</v>
      </c>
      <c r="H14" s="333">
        <v>20597.606</v>
      </c>
      <c r="I14" s="349">
        <v>19908.770099999998</v>
      </c>
      <c r="J14" s="334">
        <v>16979.703600000001</v>
      </c>
      <c r="K14" s="299">
        <v>17340.958899999998</v>
      </c>
    </row>
    <row r="15" spans="1:11" s="521" customFormat="1" outlineLevel="1" x14ac:dyDescent="0.25">
      <c r="A15" s="518"/>
      <c r="B15" s="618" t="str">
        <f>IF(ISBLANK('N1. Demand'!B24),"",'N1. Demand'!B24)</f>
        <v>Tariff V West Domestic</v>
      </c>
      <c r="C15" s="349">
        <v>33087618.714683957</v>
      </c>
      <c r="D15" s="334">
        <v>36128382.128121816</v>
      </c>
      <c r="E15" s="334">
        <v>32110318.661800005</v>
      </c>
      <c r="F15" s="334">
        <v>29524791.759500001</v>
      </c>
      <c r="G15" s="486">
        <v>31041230.078000002</v>
      </c>
      <c r="H15" s="333">
        <v>32427822.670299999</v>
      </c>
      <c r="I15" s="349">
        <v>35238151.229399994</v>
      </c>
      <c r="J15" s="334">
        <v>32793457.077400003</v>
      </c>
      <c r="K15" s="299">
        <v>33528328.878600005</v>
      </c>
    </row>
    <row r="16" spans="1:11" s="521" customFormat="1" outlineLevel="1" x14ac:dyDescent="0.25">
      <c r="A16" s="518"/>
      <c r="B16" s="618" t="str">
        <f>IF(ISBLANK('N1. Demand'!B25),"",'N1. Demand'!B25)</f>
        <v>Tariff V West Non-Domestic</v>
      </c>
      <c r="C16" s="349">
        <v>3185619.1427977863</v>
      </c>
      <c r="D16" s="334">
        <v>3498829.0976159503</v>
      </c>
      <c r="E16" s="334">
        <v>3143219.3216000004</v>
      </c>
      <c r="F16" s="334">
        <v>2176665.5842999998</v>
      </c>
      <c r="G16" s="486">
        <v>2061443.5451000002</v>
      </c>
      <c r="H16" s="333">
        <v>2050601.7873999998</v>
      </c>
      <c r="I16" s="349">
        <v>1919185.4782999998</v>
      </c>
      <c r="J16" s="334">
        <v>1713841.9244000001</v>
      </c>
      <c r="K16" s="299">
        <v>1786597.8674999999</v>
      </c>
    </row>
    <row r="17" spans="1:11" s="521" customFormat="1" outlineLevel="1" x14ac:dyDescent="0.25">
      <c r="A17" s="518"/>
      <c r="B17" s="618" t="str">
        <f>IF(ISBLANK('N1. Demand'!B26),"",'N1. Demand'!B26)</f>
        <v>Tariff V Adjoining West Domestic</v>
      </c>
      <c r="C17" s="349">
        <v>1805717.3963208201</v>
      </c>
      <c r="D17" s="334">
        <v>2181172.1050174469</v>
      </c>
      <c r="E17" s="334">
        <v>2018025.5353000001</v>
      </c>
      <c r="F17" s="334">
        <v>1922153.3673999999</v>
      </c>
      <c r="G17" s="486">
        <v>2199175.2032999997</v>
      </c>
      <c r="H17" s="333">
        <v>4072940.5419999999</v>
      </c>
      <c r="I17" s="349">
        <v>4445905.7560999999</v>
      </c>
      <c r="J17" s="334">
        <v>4108325.4917000006</v>
      </c>
      <c r="K17" s="299">
        <v>4332557.0139999995</v>
      </c>
    </row>
    <row r="18" spans="1:11" s="521" customFormat="1" outlineLevel="1" x14ac:dyDescent="0.25">
      <c r="A18" s="518"/>
      <c r="B18" s="618" t="str">
        <f>IF(ISBLANK('N1. Demand'!B27),"",'N1. Demand'!B27)</f>
        <v>Tariff V Adjoining West Non-Domestic</v>
      </c>
      <c r="C18" s="349">
        <v>176441.59392480555</v>
      </c>
      <c r="D18" s="334">
        <v>203707.62262394687</v>
      </c>
      <c r="E18" s="334">
        <v>179808.51639999999</v>
      </c>
      <c r="F18" s="334">
        <v>139635.70369999998</v>
      </c>
      <c r="G18" s="486">
        <v>153976.42550000001</v>
      </c>
      <c r="H18" s="333">
        <v>444614.14669999992</v>
      </c>
      <c r="I18" s="349">
        <v>490926.05210000009</v>
      </c>
      <c r="J18" s="334">
        <v>447090.54350000003</v>
      </c>
      <c r="K18" s="299">
        <v>442443.97159999999</v>
      </c>
    </row>
    <row r="19" spans="1:11" s="521" customFormat="1" outlineLevel="1" x14ac:dyDescent="0.25">
      <c r="A19" s="518"/>
      <c r="B19" s="618" t="str">
        <f>IF(ISBLANK('N1. Demand'!B28),"",'N1. Demand'!B28)</f>
        <v>Tariff D Central</v>
      </c>
      <c r="C19" s="349">
        <v>5069420.6899999892</v>
      </c>
      <c r="D19" s="334">
        <v>5242149.9800000014</v>
      </c>
      <c r="E19" s="334">
        <v>4589448.7000000067</v>
      </c>
      <c r="F19" s="334">
        <v>4283896.8400000036</v>
      </c>
      <c r="G19" s="486">
        <v>3723578.4800000056</v>
      </c>
      <c r="H19" s="333">
        <v>2783346.4000000041</v>
      </c>
      <c r="I19" s="349">
        <v>1826336.9800000074</v>
      </c>
      <c r="J19" s="334">
        <v>1659518.2399999984</v>
      </c>
      <c r="K19" s="299">
        <v>1403539.5200000003</v>
      </c>
    </row>
    <row r="20" spans="1:11" s="521" customFormat="1" outlineLevel="1" x14ac:dyDescent="0.25">
      <c r="A20" s="518"/>
      <c r="B20" s="618" t="str">
        <f>IF(ISBLANK('N1. Demand'!B29),"",'N1. Demand'!B29)</f>
        <v>Tariff D Adjoining Central</v>
      </c>
      <c r="C20" s="349">
        <v>9136.369999999999</v>
      </c>
      <c r="D20" s="334">
        <v>27074.290000000005</v>
      </c>
      <c r="E20" s="334">
        <v>23704.080000000009</v>
      </c>
      <c r="F20" s="334">
        <v>25846.660000000003</v>
      </c>
      <c r="G20" s="486">
        <v>24289.570000000003</v>
      </c>
      <c r="H20" s="333">
        <v>16862.13</v>
      </c>
      <c r="I20" s="349">
        <v>11256.769999999999</v>
      </c>
      <c r="J20" s="334">
        <v>11341.13</v>
      </c>
      <c r="K20" s="299">
        <v>9306.380000000001</v>
      </c>
    </row>
    <row r="21" spans="1:11" s="521" customFormat="1" outlineLevel="1" x14ac:dyDescent="0.25">
      <c r="A21" s="518"/>
      <c r="B21" s="618" t="str">
        <f>IF(ISBLANK('N1. Demand'!B30),"",'N1. Demand'!B30)</f>
        <v>Tariff D West</v>
      </c>
      <c r="C21" s="349">
        <v>1191770.6200000013</v>
      </c>
      <c r="D21" s="334">
        <v>1193984.180000002</v>
      </c>
      <c r="E21" s="334">
        <v>1024184.7899999996</v>
      </c>
      <c r="F21" s="334">
        <v>1024884.2300000029</v>
      </c>
      <c r="G21" s="486">
        <v>997015.83999999787</v>
      </c>
      <c r="H21" s="333">
        <v>737977.7999999983</v>
      </c>
      <c r="I21" s="349">
        <v>516378.80999999976</v>
      </c>
      <c r="J21" s="334">
        <v>497493.87</v>
      </c>
      <c r="K21" s="299">
        <v>443929.14999999979</v>
      </c>
    </row>
    <row r="22" spans="1:11" s="521" customFormat="1" outlineLevel="1" x14ac:dyDescent="0.25">
      <c r="A22" s="518"/>
      <c r="B22" s="618" t="str">
        <f>IF(ISBLANK('N1. Demand'!B31),"",'N1. Demand'!B31)</f>
        <v>Tariff D Adjoining West</v>
      </c>
      <c r="C22" s="349">
        <v>13231.79</v>
      </c>
      <c r="D22" s="334">
        <v>13798.000000000002</v>
      </c>
      <c r="E22" s="334">
        <v>26979.699999999993</v>
      </c>
      <c r="F22" s="334">
        <v>43697.700000000012</v>
      </c>
      <c r="G22" s="486">
        <v>41485.370000000017</v>
      </c>
      <c r="H22" s="333">
        <v>25256.67</v>
      </c>
      <c r="I22" s="349">
        <v>18635.759999999995</v>
      </c>
      <c r="J22" s="334">
        <v>10275.710000000001</v>
      </c>
      <c r="K22" s="299">
        <v>4912.5400000000009</v>
      </c>
    </row>
    <row r="23" spans="1:11" s="521" customFormat="1" outlineLevel="1" x14ac:dyDescent="0.25">
      <c r="A23" s="518"/>
      <c r="B23" s="618" t="str">
        <f>IF(ISBLANK('N1. Demand'!B32),"",'N1. Demand'!B32)</f>
        <v>Tariff M Central</v>
      </c>
      <c r="C23" s="349">
        <v>202271.83000000005</v>
      </c>
      <c r="D23" s="334">
        <v>264103.84000000003</v>
      </c>
      <c r="E23" s="334">
        <v>233110.74999999997</v>
      </c>
      <c r="F23" s="334">
        <v>-545431.98000000045</v>
      </c>
      <c r="G23" s="486">
        <v>166865.96999999994</v>
      </c>
      <c r="H23" s="333">
        <v>237510.81999999983</v>
      </c>
      <c r="I23" s="349">
        <v>121498.01999999961</v>
      </c>
      <c r="J23" s="334">
        <v>176873.62999999995</v>
      </c>
      <c r="K23" s="299">
        <v>128846.81000000014</v>
      </c>
    </row>
    <row r="24" spans="1:11" s="521" customFormat="1" outlineLevel="1" x14ac:dyDescent="0.25">
      <c r="A24" s="518"/>
      <c r="B24" s="618" t="str">
        <f>IF(ISBLANK('N1. Demand'!B33),"",'N1. Demand'!B33)</f>
        <v>Tariff M Adjoining Central</v>
      </c>
      <c r="C24" s="349">
        <v>0</v>
      </c>
      <c r="D24" s="334">
        <v>0</v>
      </c>
      <c r="E24" s="334">
        <v>0</v>
      </c>
      <c r="F24" s="334">
        <v>0</v>
      </c>
      <c r="G24" s="486">
        <v>0</v>
      </c>
      <c r="H24" s="333">
        <v>0</v>
      </c>
      <c r="I24" s="349">
        <v>0</v>
      </c>
      <c r="J24" s="334">
        <v>0</v>
      </c>
      <c r="K24" s="299">
        <v>0</v>
      </c>
    </row>
    <row r="25" spans="1:11" s="521" customFormat="1" outlineLevel="1" x14ac:dyDescent="0.25">
      <c r="A25" s="518"/>
      <c r="B25" s="618" t="str">
        <f>IF(ISBLANK('N1. Demand'!B34),"",'N1. Demand'!B34)</f>
        <v>Tariff M West</v>
      </c>
      <c r="C25" s="349">
        <v>72856.259999999995</v>
      </c>
      <c r="D25" s="334">
        <v>100884.88</v>
      </c>
      <c r="E25" s="334">
        <v>88872.319999999949</v>
      </c>
      <c r="F25" s="334">
        <v>66250.36</v>
      </c>
      <c r="G25" s="486">
        <v>58332.99</v>
      </c>
      <c r="H25" s="333">
        <v>58800.50999999998</v>
      </c>
      <c r="I25" s="349">
        <v>44257.61</v>
      </c>
      <c r="J25" s="334">
        <v>39503.83</v>
      </c>
      <c r="K25" s="299">
        <v>38356.109999999993</v>
      </c>
    </row>
    <row r="26" spans="1:11" s="521" customFormat="1" outlineLevel="1" x14ac:dyDescent="0.25">
      <c r="A26" s="518"/>
      <c r="B26" s="618" t="str">
        <f>IF(ISBLANK('N1. Demand'!B35),"",'N1. Demand'!B35)</f>
        <v>Tariff M Adjoining West</v>
      </c>
      <c r="C26" s="349">
        <v>0</v>
      </c>
      <c r="D26" s="334">
        <v>0</v>
      </c>
      <c r="E26" s="334">
        <v>0</v>
      </c>
      <c r="F26" s="334">
        <v>0</v>
      </c>
      <c r="G26" s="486">
        <v>0</v>
      </c>
      <c r="H26" s="333">
        <v>0</v>
      </c>
      <c r="I26" s="349">
        <v>0</v>
      </c>
      <c r="J26" s="334">
        <v>0</v>
      </c>
      <c r="K26" s="299">
        <v>0</v>
      </c>
    </row>
    <row r="27" spans="1:11" s="521" customFormat="1" outlineLevel="1" x14ac:dyDescent="0.25">
      <c r="A27" s="518"/>
      <c r="B27" s="618" t="str">
        <f>IF(ISBLANK('N1. Demand'!B36),"",'N1. Demand'!B36)</f>
        <v>T17</v>
      </c>
      <c r="C27" s="349"/>
      <c r="D27" s="334"/>
      <c r="E27" s="334"/>
      <c r="F27" s="334"/>
      <c r="G27" s="486"/>
      <c r="H27" s="333"/>
      <c r="I27" s="349"/>
      <c r="J27" s="334"/>
      <c r="K27" s="299"/>
    </row>
    <row r="28" spans="1:11" s="521" customFormat="1" outlineLevel="1" x14ac:dyDescent="0.25">
      <c r="A28" s="518"/>
      <c r="B28" s="618" t="str">
        <f>IF(ISBLANK('N1. Demand'!B37),"",'N1. Demand'!B37)</f>
        <v>T18</v>
      </c>
      <c r="C28" s="349"/>
      <c r="D28" s="334"/>
      <c r="E28" s="334"/>
      <c r="F28" s="334"/>
      <c r="G28" s="486"/>
      <c r="H28" s="333"/>
      <c r="I28" s="349"/>
      <c r="J28" s="334"/>
      <c r="K28" s="299"/>
    </row>
    <row r="29" spans="1:11" s="521" customFormat="1" outlineLevel="1" x14ac:dyDescent="0.25">
      <c r="A29" s="518"/>
      <c r="B29" s="618" t="str">
        <f>IF(ISBLANK('N1. Demand'!B38),"",'N1. Demand'!B38)</f>
        <v>T19</v>
      </c>
      <c r="C29" s="349"/>
      <c r="D29" s="334"/>
      <c r="E29" s="334"/>
      <c r="F29" s="334"/>
      <c r="G29" s="486"/>
      <c r="H29" s="333"/>
      <c r="I29" s="349"/>
      <c r="J29" s="334"/>
      <c r="K29" s="299"/>
    </row>
    <row r="30" spans="1:11" s="521" customFormat="1" outlineLevel="1" x14ac:dyDescent="0.25">
      <c r="A30" s="518"/>
      <c r="B30" s="618" t="str">
        <f>IF(ISBLANK('N1. Demand'!B39),"",'N1. Demand'!B39)</f>
        <v>T20</v>
      </c>
      <c r="C30" s="349"/>
      <c r="D30" s="334"/>
      <c r="E30" s="334"/>
      <c r="F30" s="334"/>
      <c r="G30" s="486"/>
      <c r="H30" s="333"/>
      <c r="I30" s="349"/>
      <c r="J30" s="334"/>
      <c r="K30" s="299"/>
    </row>
    <row r="31" spans="1:11" s="521" customFormat="1" outlineLevel="1" x14ac:dyDescent="0.25">
      <c r="A31" s="518"/>
      <c r="B31" s="618" t="str">
        <f>IF(ISBLANK('N1. Demand'!B40),"",'N1. Demand'!B40)</f>
        <v>T21</v>
      </c>
      <c r="C31" s="349"/>
      <c r="D31" s="334"/>
      <c r="E31" s="334"/>
      <c r="F31" s="334"/>
      <c r="G31" s="486"/>
      <c r="H31" s="333"/>
      <c r="I31" s="349"/>
      <c r="J31" s="334"/>
      <c r="K31" s="299"/>
    </row>
    <row r="32" spans="1:11" s="521" customFormat="1" outlineLevel="1" x14ac:dyDescent="0.25">
      <c r="A32" s="518"/>
      <c r="B32" s="618" t="str">
        <f>IF(ISBLANK('N1. Demand'!B41),"",'N1. Demand'!B41)</f>
        <v>T22</v>
      </c>
      <c r="C32" s="349"/>
      <c r="D32" s="334"/>
      <c r="E32" s="334"/>
      <c r="F32" s="334"/>
      <c r="G32" s="486"/>
      <c r="H32" s="333"/>
      <c r="I32" s="349"/>
      <c r="J32" s="334"/>
      <c r="K32" s="299"/>
    </row>
    <row r="33" spans="1:11" s="521" customFormat="1" outlineLevel="1" x14ac:dyDescent="0.25">
      <c r="A33" s="518"/>
      <c r="B33" s="618" t="str">
        <f>IF(ISBLANK('N1. Demand'!B42),"",'N1. Demand'!B42)</f>
        <v>T23</v>
      </c>
      <c r="C33" s="349"/>
      <c r="D33" s="334"/>
      <c r="E33" s="334"/>
      <c r="F33" s="334"/>
      <c r="G33" s="486"/>
      <c r="H33" s="333"/>
      <c r="I33" s="349"/>
      <c r="J33" s="334"/>
      <c r="K33" s="299"/>
    </row>
    <row r="34" spans="1:11" s="521" customFormat="1" outlineLevel="1" x14ac:dyDescent="0.25">
      <c r="A34" s="518"/>
      <c r="B34" s="618" t="str">
        <f>IF(ISBLANK('N1. Demand'!B43),"",'N1. Demand'!B43)</f>
        <v>T24</v>
      </c>
      <c r="C34" s="349"/>
      <c r="D34" s="334"/>
      <c r="E34" s="334"/>
      <c r="F34" s="334"/>
      <c r="G34" s="486"/>
      <c r="H34" s="333"/>
      <c r="I34" s="349"/>
      <c r="J34" s="334"/>
      <c r="K34" s="299"/>
    </row>
    <row r="35" spans="1:11" s="521" customFormat="1" outlineLevel="1" x14ac:dyDescent="0.25">
      <c r="A35" s="518"/>
      <c r="B35" s="618" t="str">
        <f>IF(ISBLANK('N1. Demand'!B44),"",'N1. Demand'!B44)</f>
        <v>T25</v>
      </c>
      <c r="C35" s="349"/>
      <c r="D35" s="334"/>
      <c r="E35" s="334"/>
      <c r="F35" s="334"/>
      <c r="G35" s="486"/>
      <c r="H35" s="333"/>
      <c r="I35" s="349"/>
      <c r="J35" s="334"/>
      <c r="K35" s="299"/>
    </row>
    <row r="36" spans="1:11" s="521" customFormat="1" outlineLevel="1" x14ac:dyDescent="0.25">
      <c r="A36" s="518"/>
      <c r="B36" s="618" t="str">
        <f>IF(ISBLANK('N1. Demand'!B45),"",'N1. Demand'!B45)</f>
        <v>T26</v>
      </c>
      <c r="C36" s="349"/>
      <c r="D36" s="334"/>
      <c r="E36" s="334"/>
      <c r="F36" s="334"/>
      <c r="G36" s="486"/>
      <c r="H36" s="333"/>
      <c r="I36" s="349"/>
      <c r="J36" s="334"/>
      <c r="K36" s="299"/>
    </row>
    <row r="37" spans="1:11" s="521" customFormat="1" outlineLevel="1" x14ac:dyDescent="0.25">
      <c r="A37" s="518"/>
      <c r="B37" s="618" t="str">
        <f>IF(ISBLANK('N1. Demand'!B46),"",'N1. Demand'!B46)</f>
        <v>T27</v>
      </c>
      <c r="C37" s="349"/>
      <c r="D37" s="334"/>
      <c r="E37" s="334"/>
      <c r="F37" s="334"/>
      <c r="G37" s="486"/>
      <c r="H37" s="333"/>
      <c r="I37" s="349"/>
      <c r="J37" s="334"/>
      <c r="K37" s="299"/>
    </row>
    <row r="38" spans="1:11" s="521" customFormat="1" outlineLevel="1" x14ac:dyDescent="0.25">
      <c r="A38" s="518"/>
      <c r="B38" s="618" t="str">
        <f>IF(ISBLANK('N1. Demand'!B47),"",'N1. Demand'!B47)</f>
        <v>T28</v>
      </c>
      <c r="C38" s="349"/>
      <c r="D38" s="334"/>
      <c r="E38" s="334"/>
      <c r="F38" s="334"/>
      <c r="G38" s="486"/>
      <c r="H38" s="333"/>
      <c r="I38" s="349"/>
      <c r="J38" s="334"/>
      <c r="K38" s="299"/>
    </row>
    <row r="39" spans="1:11" s="521" customFormat="1" outlineLevel="1" x14ac:dyDescent="0.25">
      <c r="A39" s="518"/>
      <c r="B39" s="618" t="str">
        <f>IF(ISBLANK('N1. Demand'!B48),"",'N1. Demand'!B48)</f>
        <v>T29</v>
      </c>
      <c r="C39" s="349"/>
      <c r="D39" s="334"/>
      <c r="E39" s="334"/>
      <c r="F39" s="334"/>
      <c r="G39" s="486"/>
      <c r="H39" s="333"/>
      <c r="I39" s="349"/>
      <c r="J39" s="334"/>
      <c r="K39" s="299"/>
    </row>
    <row r="40" spans="1:11" s="521" customFormat="1" outlineLevel="1" x14ac:dyDescent="0.25">
      <c r="A40" s="518"/>
      <c r="B40" s="618" t="str">
        <f>IF(ISBLANK('N1. Demand'!B49),"",'N1. Demand'!B49)</f>
        <v>T30</v>
      </c>
      <c r="C40" s="349"/>
      <c r="D40" s="334"/>
      <c r="E40" s="334"/>
      <c r="F40" s="334"/>
      <c r="G40" s="486"/>
      <c r="H40" s="333"/>
      <c r="I40" s="349"/>
      <c r="J40" s="334"/>
      <c r="K40" s="299"/>
    </row>
    <row r="41" spans="1:11" s="521" customFormat="1" outlineLevel="1" x14ac:dyDescent="0.25">
      <c r="A41" s="518"/>
      <c r="B41" s="618" t="str">
        <f>IF(ISBLANK('N1. Demand'!B50),"",'N1. Demand'!B50)</f>
        <v>T31</v>
      </c>
      <c r="C41" s="349"/>
      <c r="D41" s="334"/>
      <c r="E41" s="334"/>
      <c r="F41" s="334"/>
      <c r="G41" s="486"/>
      <c r="H41" s="333"/>
      <c r="I41" s="349"/>
      <c r="J41" s="334"/>
      <c r="K41" s="299"/>
    </row>
    <row r="42" spans="1:11" s="521" customFormat="1" outlineLevel="1" x14ac:dyDescent="0.25">
      <c r="A42" s="518"/>
      <c r="B42" s="618" t="str">
        <f>IF(ISBLANK('N1. Demand'!B51),"",'N1. Demand'!B51)</f>
        <v>T32</v>
      </c>
      <c r="C42" s="349"/>
      <c r="D42" s="334"/>
      <c r="E42" s="334"/>
      <c r="F42" s="334"/>
      <c r="G42" s="486"/>
      <c r="H42" s="333"/>
      <c r="I42" s="349"/>
      <c r="J42" s="334"/>
      <c r="K42" s="299"/>
    </row>
    <row r="43" spans="1:11" s="521" customFormat="1" outlineLevel="1" x14ac:dyDescent="0.25">
      <c r="A43" s="518"/>
      <c r="B43" s="618" t="str">
        <f>IF(ISBLANK('N1. Demand'!B52),"",'N1. Demand'!B52)</f>
        <v>T33</v>
      </c>
      <c r="C43" s="349"/>
      <c r="D43" s="334"/>
      <c r="E43" s="334"/>
      <c r="F43" s="334"/>
      <c r="G43" s="486"/>
      <c r="H43" s="333"/>
      <c r="I43" s="349"/>
      <c r="J43" s="334"/>
      <c r="K43" s="299"/>
    </row>
    <row r="44" spans="1:11" s="521" customFormat="1" outlineLevel="1" x14ac:dyDescent="0.25">
      <c r="A44" s="518"/>
      <c r="B44" s="618" t="str">
        <f>IF(ISBLANK('N1. Demand'!B53),"",'N1. Demand'!B53)</f>
        <v>T34</v>
      </c>
      <c r="C44" s="349"/>
      <c r="D44" s="334"/>
      <c r="E44" s="334"/>
      <c r="F44" s="334"/>
      <c r="G44" s="486"/>
      <c r="H44" s="333"/>
      <c r="I44" s="349"/>
      <c r="J44" s="334"/>
      <c r="K44" s="299"/>
    </row>
    <row r="45" spans="1:11" s="521" customFormat="1" outlineLevel="1" x14ac:dyDescent="0.25">
      <c r="A45" s="518"/>
      <c r="B45" s="618" t="str">
        <f>IF(ISBLANK('N1. Demand'!B54),"",'N1. Demand'!B54)</f>
        <v>T35</v>
      </c>
      <c r="C45" s="349"/>
      <c r="D45" s="334"/>
      <c r="E45" s="334"/>
      <c r="F45" s="334"/>
      <c r="G45" s="486"/>
      <c r="H45" s="333"/>
      <c r="I45" s="349"/>
      <c r="J45" s="334"/>
      <c r="K45" s="299"/>
    </row>
    <row r="46" spans="1:11" s="521" customFormat="1" outlineLevel="1" x14ac:dyDescent="0.25">
      <c r="A46" s="518"/>
      <c r="B46" s="618" t="str">
        <f>IF(ISBLANK('N1. Demand'!B55),"",'N1. Demand'!B55)</f>
        <v>T36</v>
      </c>
      <c r="C46" s="349"/>
      <c r="D46" s="334"/>
      <c r="E46" s="334"/>
      <c r="F46" s="334"/>
      <c r="G46" s="486"/>
      <c r="H46" s="333"/>
      <c r="I46" s="349"/>
      <c r="J46" s="334"/>
      <c r="K46" s="299"/>
    </row>
    <row r="47" spans="1:11" s="521" customFormat="1" outlineLevel="1" x14ac:dyDescent="0.25">
      <c r="A47" s="518"/>
      <c r="B47" s="618" t="str">
        <f>IF(ISBLANK('N1. Demand'!B56),"",'N1. Demand'!B56)</f>
        <v>T37</v>
      </c>
      <c r="C47" s="349"/>
      <c r="D47" s="334"/>
      <c r="E47" s="334"/>
      <c r="F47" s="334"/>
      <c r="G47" s="486"/>
      <c r="H47" s="333"/>
      <c r="I47" s="349"/>
      <c r="J47" s="334"/>
      <c r="K47" s="299"/>
    </row>
    <row r="48" spans="1:11" s="521" customFormat="1" outlineLevel="1" x14ac:dyDescent="0.25">
      <c r="A48" s="518"/>
      <c r="B48" s="618" t="str">
        <f>IF(ISBLANK('N1. Demand'!B57),"",'N1. Demand'!B57)</f>
        <v>T38</v>
      </c>
      <c r="C48" s="349"/>
      <c r="D48" s="334"/>
      <c r="E48" s="334"/>
      <c r="F48" s="334"/>
      <c r="G48" s="486"/>
      <c r="H48" s="333"/>
      <c r="I48" s="349"/>
      <c r="J48" s="334"/>
      <c r="K48" s="299"/>
    </row>
    <row r="49" spans="1:11" s="521" customFormat="1" outlineLevel="1" x14ac:dyDescent="0.25">
      <c r="A49" s="518"/>
      <c r="B49" s="618" t="str">
        <f>IF(ISBLANK('N1. Demand'!B58),"",'N1. Demand'!B58)</f>
        <v>T39</v>
      </c>
      <c r="C49" s="349"/>
      <c r="D49" s="334"/>
      <c r="E49" s="334"/>
      <c r="F49" s="334"/>
      <c r="G49" s="486"/>
      <c r="H49" s="333"/>
      <c r="I49" s="349"/>
      <c r="J49" s="334"/>
      <c r="K49" s="299"/>
    </row>
    <row r="50" spans="1:11" s="521" customFormat="1" outlineLevel="1" x14ac:dyDescent="0.25">
      <c r="A50" s="518"/>
      <c r="B50" s="618" t="str">
        <f>IF(ISBLANK('N1. Demand'!B59),"",'N1. Demand'!B59)</f>
        <v>T40</v>
      </c>
      <c r="C50" s="349"/>
      <c r="D50" s="334"/>
      <c r="E50" s="334"/>
      <c r="F50" s="334"/>
      <c r="G50" s="486"/>
      <c r="H50" s="333"/>
      <c r="I50" s="349"/>
      <c r="J50" s="334"/>
      <c r="K50" s="299"/>
    </row>
    <row r="51" spans="1:11" s="521" customFormat="1" outlineLevel="1" x14ac:dyDescent="0.25">
      <c r="A51" s="518"/>
      <c r="B51" s="618" t="str">
        <f>IF(ISBLANK('N1. Demand'!B60),"",'N1. Demand'!B60)</f>
        <v>T41</v>
      </c>
      <c r="C51" s="349"/>
      <c r="D51" s="334"/>
      <c r="E51" s="334"/>
      <c r="F51" s="334"/>
      <c r="G51" s="486"/>
      <c r="H51" s="333"/>
      <c r="I51" s="349"/>
      <c r="J51" s="334"/>
      <c r="K51" s="299"/>
    </row>
    <row r="52" spans="1:11" s="521" customFormat="1" outlineLevel="1" x14ac:dyDescent="0.25">
      <c r="A52" s="518"/>
      <c r="B52" s="618" t="str">
        <f>IF(ISBLANK('N1. Demand'!B61),"",'N1. Demand'!B61)</f>
        <v>T42</v>
      </c>
      <c r="C52" s="349"/>
      <c r="D52" s="334"/>
      <c r="E52" s="334"/>
      <c r="F52" s="334"/>
      <c r="G52" s="486"/>
      <c r="H52" s="333"/>
      <c r="I52" s="349"/>
      <c r="J52" s="334"/>
      <c r="K52" s="299"/>
    </row>
    <row r="53" spans="1:11" s="521" customFormat="1" outlineLevel="1" x14ac:dyDescent="0.25">
      <c r="A53" s="518"/>
      <c r="B53" s="618" t="str">
        <f>IF(ISBLANK('N1. Demand'!B62),"",'N1. Demand'!B62)</f>
        <v>T43</v>
      </c>
      <c r="C53" s="349"/>
      <c r="D53" s="334"/>
      <c r="E53" s="334"/>
      <c r="F53" s="334"/>
      <c r="G53" s="486"/>
      <c r="H53" s="333"/>
      <c r="I53" s="349"/>
      <c r="J53" s="334"/>
      <c r="K53" s="299"/>
    </row>
    <row r="54" spans="1:11" s="521" customFormat="1" outlineLevel="1" x14ac:dyDescent="0.25">
      <c r="A54" s="518"/>
      <c r="B54" s="618" t="str">
        <f>IF(ISBLANK('N1. Demand'!B63),"",'N1. Demand'!B63)</f>
        <v>T44</v>
      </c>
      <c r="C54" s="349"/>
      <c r="D54" s="334"/>
      <c r="E54" s="334"/>
      <c r="F54" s="334"/>
      <c r="G54" s="486"/>
      <c r="H54" s="333"/>
      <c r="I54" s="349"/>
      <c r="J54" s="334"/>
      <c r="K54" s="299"/>
    </row>
    <row r="55" spans="1:11" s="521" customFormat="1" outlineLevel="1" x14ac:dyDescent="0.25">
      <c r="A55" s="518"/>
      <c r="B55" s="618" t="str">
        <f>IF(ISBLANK('N1. Demand'!B64),"",'N1. Demand'!B64)</f>
        <v>T45</v>
      </c>
      <c r="C55" s="349"/>
      <c r="D55" s="334"/>
      <c r="E55" s="334"/>
      <c r="F55" s="334"/>
      <c r="G55" s="486"/>
      <c r="H55" s="333"/>
      <c r="I55" s="349"/>
      <c r="J55" s="334"/>
      <c r="K55" s="299"/>
    </row>
    <row r="56" spans="1:11" s="521" customFormat="1" outlineLevel="1" x14ac:dyDescent="0.25">
      <c r="A56" s="518"/>
      <c r="B56" s="618" t="str">
        <f>IF(ISBLANK('N1. Demand'!B65),"",'N1. Demand'!B65)</f>
        <v>T46</v>
      </c>
      <c r="C56" s="349"/>
      <c r="D56" s="334"/>
      <c r="E56" s="334"/>
      <c r="F56" s="334"/>
      <c r="G56" s="486"/>
      <c r="H56" s="333"/>
      <c r="I56" s="349"/>
      <c r="J56" s="334"/>
      <c r="K56" s="299"/>
    </row>
    <row r="57" spans="1:11" s="521" customFormat="1" outlineLevel="1" x14ac:dyDescent="0.25">
      <c r="A57" s="518"/>
      <c r="B57" s="618" t="str">
        <f>IF(ISBLANK('N1. Demand'!B66),"",'N1. Demand'!B66)</f>
        <v>T47</v>
      </c>
      <c r="C57" s="349"/>
      <c r="D57" s="334"/>
      <c r="E57" s="334"/>
      <c r="F57" s="334"/>
      <c r="G57" s="486"/>
      <c r="H57" s="333"/>
      <c r="I57" s="349"/>
      <c r="J57" s="334"/>
      <c r="K57" s="299"/>
    </row>
    <row r="58" spans="1:11" s="521" customFormat="1" outlineLevel="1" x14ac:dyDescent="0.25">
      <c r="A58" s="518"/>
      <c r="B58" s="618" t="str">
        <f>IF(ISBLANK('N1. Demand'!B67),"",'N1. Demand'!B67)</f>
        <v>T48</v>
      </c>
      <c r="C58" s="349"/>
      <c r="D58" s="334"/>
      <c r="E58" s="334"/>
      <c r="F58" s="334"/>
      <c r="G58" s="486"/>
      <c r="H58" s="333"/>
      <c r="I58" s="349"/>
      <c r="J58" s="334"/>
      <c r="K58" s="299"/>
    </row>
    <row r="59" spans="1:11" s="521" customFormat="1" outlineLevel="1" x14ac:dyDescent="0.25">
      <c r="A59" s="518"/>
      <c r="B59" s="618" t="str">
        <f>IF(ISBLANK('N1. Demand'!B68),"",'N1. Demand'!B68)</f>
        <v>T49</v>
      </c>
      <c r="C59" s="349"/>
      <c r="D59" s="334"/>
      <c r="E59" s="334"/>
      <c r="F59" s="334"/>
      <c r="G59" s="486"/>
      <c r="H59" s="333"/>
      <c r="I59" s="349"/>
      <c r="J59" s="334"/>
      <c r="K59" s="299"/>
    </row>
    <row r="60" spans="1:11" s="521" customFormat="1" outlineLevel="1" x14ac:dyDescent="0.25">
      <c r="A60" s="518"/>
      <c r="B60" s="618" t="str">
        <f>IF(ISBLANK('N1. Demand'!B69),"",'N1. Demand'!B69)</f>
        <v>T50</v>
      </c>
      <c r="C60" s="349"/>
      <c r="D60" s="334"/>
      <c r="E60" s="334"/>
      <c r="F60" s="334"/>
      <c r="G60" s="486"/>
      <c r="H60" s="333"/>
      <c r="I60" s="349"/>
      <c r="J60" s="334"/>
      <c r="K60" s="299"/>
    </row>
    <row r="61" spans="1:11" s="521" customFormat="1" outlineLevel="1" x14ac:dyDescent="0.25">
      <c r="A61" s="518"/>
      <c r="B61" s="618" t="str">
        <f>IF(ISBLANK('N1. Demand'!B70),"",'N1. Demand'!B70)</f>
        <v>T51</v>
      </c>
      <c r="C61" s="349"/>
      <c r="D61" s="334"/>
      <c r="E61" s="334"/>
      <c r="F61" s="334"/>
      <c r="G61" s="486"/>
      <c r="H61" s="333"/>
      <c r="I61" s="349"/>
      <c r="J61" s="334"/>
      <c r="K61" s="299"/>
    </row>
    <row r="62" spans="1:11" s="521" customFormat="1" outlineLevel="1" x14ac:dyDescent="0.25">
      <c r="A62" s="518"/>
      <c r="B62" s="618" t="str">
        <f>IF(ISBLANK('N1. Demand'!B71),"",'N1. Demand'!B71)</f>
        <v>T52</v>
      </c>
      <c r="C62" s="349"/>
      <c r="D62" s="334"/>
      <c r="E62" s="334"/>
      <c r="F62" s="334"/>
      <c r="G62" s="486"/>
      <c r="H62" s="333"/>
      <c r="I62" s="349"/>
      <c r="J62" s="334"/>
      <c r="K62" s="299"/>
    </row>
    <row r="63" spans="1:11" s="521" customFormat="1" outlineLevel="1" x14ac:dyDescent="0.25">
      <c r="A63" s="518"/>
      <c r="B63" s="618" t="str">
        <f>IF(ISBLANK('N1. Demand'!B72),"",'N1. Demand'!B72)</f>
        <v>T53</v>
      </c>
      <c r="C63" s="349"/>
      <c r="D63" s="334"/>
      <c r="E63" s="334"/>
      <c r="F63" s="334"/>
      <c r="G63" s="486"/>
      <c r="H63" s="333"/>
      <c r="I63" s="349"/>
      <c r="J63" s="334"/>
      <c r="K63" s="299"/>
    </row>
    <row r="64" spans="1:11" s="521" customFormat="1" outlineLevel="1" x14ac:dyDescent="0.25">
      <c r="A64" s="518"/>
      <c r="B64" s="618" t="str">
        <f>IF(ISBLANK('N1. Demand'!B73),"",'N1. Demand'!B73)</f>
        <v>T54</v>
      </c>
      <c r="C64" s="349"/>
      <c r="D64" s="334"/>
      <c r="E64" s="334"/>
      <c r="F64" s="334"/>
      <c r="G64" s="486"/>
      <c r="H64" s="333"/>
      <c r="I64" s="349"/>
      <c r="J64" s="334"/>
      <c r="K64" s="299"/>
    </row>
    <row r="65" spans="1:11" s="521" customFormat="1" outlineLevel="1" x14ac:dyDescent="0.25">
      <c r="A65" s="518"/>
      <c r="B65" s="618" t="str">
        <f>IF(ISBLANK('N1. Demand'!B74),"",'N1. Demand'!B74)</f>
        <v>T55</v>
      </c>
      <c r="C65" s="349"/>
      <c r="D65" s="334"/>
      <c r="E65" s="334"/>
      <c r="F65" s="334"/>
      <c r="G65" s="486"/>
      <c r="H65" s="333"/>
      <c r="I65" s="349"/>
      <c r="J65" s="334"/>
      <c r="K65" s="299"/>
    </row>
    <row r="66" spans="1:11" s="521" customFormat="1" outlineLevel="1" x14ac:dyDescent="0.25">
      <c r="A66" s="518"/>
      <c r="B66" s="618" t="str">
        <f>IF(ISBLANK('N1. Demand'!B75),"",'N1. Demand'!B75)</f>
        <v>T56</v>
      </c>
      <c r="C66" s="349"/>
      <c r="D66" s="334"/>
      <c r="E66" s="334"/>
      <c r="F66" s="334"/>
      <c r="G66" s="486"/>
      <c r="H66" s="333"/>
      <c r="I66" s="349"/>
      <c r="J66" s="334"/>
      <c r="K66" s="299"/>
    </row>
    <row r="67" spans="1:11" s="521" customFormat="1" outlineLevel="1" x14ac:dyDescent="0.25">
      <c r="A67" s="518"/>
      <c r="B67" s="618" t="str">
        <f>IF(ISBLANK('N1. Demand'!B76),"",'N1. Demand'!B76)</f>
        <v>T57</v>
      </c>
      <c r="C67" s="349"/>
      <c r="D67" s="334"/>
      <c r="E67" s="334"/>
      <c r="F67" s="334"/>
      <c r="G67" s="486"/>
      <c r="H67" s="333"/>
      <c r="I67" s="349"/>
      <c r="J67" s="334"/>
      <c r="K67" s="299"/>
    </row>
    <row r="68" spans="1:11" s="521" customFormat="1" outlineLevel="1" x14ac:dyDescent="0.25">
      <c r="A68" s="518"/>
      <c r="B68" s="618" t="str">
        <f>IF(ISBLANK('N1. Demand'!B77),"",'N1. Demand'!B77)</f>
        <v>T58</v>
      </c>
      <c r="C68" s="349"/>
      <c r="D68" s="334"/>
      <c r="E68" s="334"/>
      <c r="F68" s="334"/>
      <c r="G68" s="486"/>
      <c r="H68" s="333"/>
      <c r="I68" s="349"/>
      <c r="J68" s="334"/>
      <c r="K68" s="299"/>
    </row>
    <row r="69" spans="1:11" s="521" customFormat="1" outlineLevel="1" x14ac:dyDescent="0.25">
      <c r="A69" s="518"/>
      <c r="B69" s="618" t="str">
        <f>IF(ISBLANK('N1. Demand'!B78),"",'N1. Demand'!B78)</f>
        <v>T59</v>
      </c>
      <c r="C69" s="349"/>
      <c r="D69" s="334"/>
      <c r="E69" s="334"/>
      <c r="F69" s="334"/>
      <c r="G69" s="486"/>
      <c r="H69" s="333"/>
      <c r="I69" s="349"/>
      <c r="J69" s="334"/>
      <c r="K69" s="299"/>
    </row>
    <row r="70" spans="1:11" s="521" customFormat="1" outlineLevel="1" x14ac:dyDescent="0.25">
      <c r="A70" s="518"/>
      <c r="B70" s="618" t="str">
        <f>IF(ISBLANK('N1. Demand'!B79),"",'N1. Demand'!B79)</f>
        <v>T60</v>
      </c>
      <c r="C70" s="349"/>
      <c r="D70" s="334"/>
      <c r="E70" s="334"/>
      <c r="F70" s="334"/>
      <c r="G70" s="486"/>
      <c r="H70" s="333"/>
      <c r="I70" s="349"/>
      <c r="J70" s="334"/>
      <c r="K70" s="299"/>
    </row>
    <row r="71" spans="1:11" s="521" customFormat="1" outlineLevel="1" x14ac:dyDescent="0.25">
      <c r="A71" s="518"/>
      <c r="B71" s="618" t="str">
        <f>IF(ISBLANK('N1. Demand'!B80),"",'N1. Demand'!B80)</f>
        <v>T61</v>
      </c>
      <c r="C71" s="349"/>
      <c r="D71" s="334"/>
      <c r="E71" s="334"/>
      <c r="F71" s="334"/>
      <c r="G71" s="486"/>
      <c r="H71" s="333"/>
      <c r="I71" s="349"/>
      <c r="J71" s="334"/>
      <c r="K71" s="299"/>
    </row>
    <row r="72" spans="1:11" s="521" customFormat="1" outlineLevel="1" x14ac:dyDescent="0.25">
      <c r="A72" s="518"/>
      <c r="B72" s="618" t="str">
        <f>IF(ISBLANK('N1. Demand'!B81),"",'N1. Demand'!B81)</f>
        <v>T62</v>
      </c>
      <c r="C72" s="349"/>
      <c r="D72" s="334"/>
      <c r="E72" s="334"/>
      <c r="F72" s="334"/>
      <c r="G72" s="486"/>
      <c r="H72" s="333"/>
      <c r="I72" s="349"/>
      <c r="J72" s="334"/>
      <c r="K72" s="299"/>
    </row>
    <row r="73" spans="1:11" s="521" customFormat="1" outlineLevel="1" x14ac:dyDescent="0.25">
      <c r="A73" s="518"/>
      <c r="B73" s="618" t="str">
        <f>IF(ISBLANK('N1. Demand'!B82),"",'N1. Demand'!B82)</f>
        <v>T63</v>
      </c>
      <c r="C73" s="349"/>
      <c r="D73" s="334"/>
      <c r="E73" s="334"/>
      <c r="F73" s="334"/>
      <c r="G73" s="486"/>
      <c r="H73" s="333"/>
      <c r="I73" s="349"/>
      <c r="J73" s="334"/>
      <c r="K73" s="299"/>
    </row>
    <row r="74" spans="1:11" s="521" customFormat="1" outlineLevel="1" x14ac:dyDescent="0.25">
      <c r="A74" s="518"/>
      <c r="B74" s="618" t="str">
        <f>IF(ISBLANK('N1. Demand'!B83),"",'N1. Demand'!B83)</f>
        <v>T64</v>
      </c>
      <c r="C74" s="349"/>
      <c r="D74" s="334"/>
      <c r="E74" s="334"/>
      <c r="F74" s="334"/>
      <c r="G74" s="486"/>
      <c r="H74" s="333"/>
      <c r="I74" s="349"/>
      <c r="J74" s="334"/>
      <c r="K74" s="299"/>
    </row>
    <row r="75" spans="1:11" s="521" customFormat="1" outlineLevel="1" x14ac:dyDescent="0.25">
      <c r="A75" s="518"/>
      <c r="B75" s="618" t="str">
        <f>IF(ISBLANK('N1. Demand'!B84),"",'N1. Demand'!B84)</f>
        <v>T65</v>
      </c>
      <c r="C75" s="349"/>
      <c r="D75" s="334"/>
      <c r="E75" s="334"/>
      <c r="F75" s="334"/>
      <c r="G75" s="486"/>
      <c r="H75" s="333"/>
      <c r="I75" s="349"/>
      <c r="J75" s="334"/>
      <c r="K75" s="299"/>
    </row>
    <row r="76" spans="1:11" s="521" customFormat="1" outlineLevel="1" x14ac:dyDescent="0.25">
      <c r="A76" s="518"/>
      <c r="B76" s="618" t="str">
        <f>IF(ISBLANK('N1. Demand'!B85),"",'N1. Demand'!B85)</f>
        <v>T66</v>
      </c>
      <c r="C76" s="349"/>
      <c r="D76" s="334"/>
      <c r="E76" s="334"/>
      <c r="F76" s="334"/>
      <c r="G76" s="486"/>
      <c r="H76" s="333"/>
      <c r="I76" s="349"/>
      <c r="J76" s="334"/>
      <c r="K76" s="299"/>
    </row>
    <row r="77" spans="1:11" s="521" customFormat="1" outlineLevel="1" x14ac:dyDescent="0.25">
      <c r="A77" s="518"/>
      <c r="B77" s="618" t="str">
        <f>IF(ISBLANK('N1. Demand'!B86),"",'N1. Demand'!B86)</f>
        <v>T67</v>
      </c>
      <c r="C77" s="349"/>
      <c r="D77" s="334"/>
      <c r="E77" s="334"/>
      <c r="F77" s="334"/>
      <c r="G77" s="486"/>
      <c r="H77" s="333"/>
      <c r="I77" s="349"/>
      <c r="J77" s="334"/>
      <c r="K77" s="299"/>
    </row>
    <row r="78" spans="1:11" s="521" customFormat="1" outlineLevel="1" x14ac:dyDescent="0.25">
      <c r="A78" s="518"/>
      <c r="B78" s="618" t="str">
        <f>IF(ISBLANK('N1. Demand'!B87),"",'N1. Demand'!B87)</f>
        <v>T68</v>
      </c>
      <c r="C78" s="349"/>
      <c r="D78" s="334"/>
      <c r="E78" s="334"/>
      <c r="F78" s="334"/>
      <c r="G78" s="486"/>
      <c r="H78" s="333"/>
      <c r="I78" s="349"/>
      <c r="J78" s="334"/>
      <c r="K78" s="299"/>
    </row>
    <row r="79" spans="1:11" s="345" customFormat="1" outlineLevel="1" x14ac:dyDescent="0.25">
      <c r="A79" s="320"/>
      <c r="B79" s="618" t="str">
        <f>IF(ISBLANK('N1. Demand'!B88),"",'N1. Demand'!B88)</f>
        <v>T69</v>
      </c>
      <c r="C79" s="349"/>
      <c r="D79" s="334"/>
      <c r="E79" s="334"/>
      <c r="F79" s="334"/>
      <c r="G79" s="486"/>
      <c r="H79" s="333"/>
      <c r="I79" s="349"/>
      <c r="J79" s="334"/>
      <c r="K79" s="299"/>
    </row>
    <row r="80" spans="1:11" s="345" customFormat="1" outlineLevel="1" x14ac:dyDescent="0.25">
      <c r="A80" s="320"/>
      <c r="B80" s="618" t="str">
        <f>IF(ISBLANK('N1. Demand'!B89),"",'N1. Demand'!B89)</f>
        <v>T70</v>
      </c>
      <c r="C80" s="349"/>
      <c r="D80" s="334"/>
      <c r="E80" s="334"/>
      <c r="F80" s="334"/>
      <c r="G80" s="486"/>
      <c r="H80" s="333"/>
      <c r="I80" s="349"/>
      <c r="J80" s="334"/>
      <c r="K80" s="299"/>
    </row>
    <row r="81" spans="1:11" s="345" customFormat="1" outlineLevel="1" x14ac:dyDescent="0.25">
      <c r="A81" s="320"/>
      <c r="B81" s="618" t="str">
        <f>IF(ISBLANK('N1. Demand'!B90),"",'N1. Demand'!B90)</f>
        <v>T71</v>
      </c>
      <c r="C81" s="349"/>
      <c r="D81" s="334"/>
      <c r="E81" s="334"/>
      <c r="F81" s="334"/>
      <c r="G81" s="486"/>
      <c r="H81" s="333"/>
      <c r="I81" s="349"/>
      <c r="J81" s="334"/>
      <c r="K81" s="299"/>
    </row>
    <row r="82" spans="1:11" s="345" customFormat="1" outlineLevel="1" x14ac:dyDescent="0.25">
      <c r="A82" s="320"/>
      <c r="B82" s="618" t="str">
        <f>IF(ISBLANK('N1. Demand'!B91),"",'N1. Demand'!B91)</f>
        <v>T72</v>
      </c>
      <c r="C82" s="349"/>
      <c r="D82" s="334"/>
      <c r="E82" s="334"/>
      <c r="F82" s="334"/>
      <c r="G82" s="486"/>
      <c r="H82" s="333"/>
      <c r="I82" s="349"/>
      <c r="J82" s="334"/>
      <c r="K82" s="299"/>
    </row>
    <row r="83" spans="1:11" s="345" customFormat="1" outlineLevel="1" x14ac:dyDescent="0.25">
      <c r="A83" s="320"/>
      <c r="B83" s="618" t="str">
        <f>IF(ISBLANK('N1. Demand'!B92),"",'N1. Demand'!B92)</f>
        <v>T73</v>
      </c>
      <c r="C83" s="349"/>
      <c r="D83" s="334"/>
      <c r="E83" s="334"/>
      <c r="F83" s="334"/>
      <c r="G83" s="486"/>
      <c r="H83" s="333"/>
      <c r="I83" s="349"/>
      <c r="J83" s="334"/>
      <c r="K83" s="299"/>
    </row>
    <row r="84" spans="1:11" s="1280" customFormat="1" outlineLevel="1" x14ac:dyDescent="0.25">
      <c r="A84" s="518"/>
      <c r="B84" s="618" t="str">
        <f>IF(ISBLANK('N1. Demand'!B93),"",'N1. Demand'!B93)</f>
        <v>T74</v>
      </c>
      <c r="C84" s="349"/>
      <c r="D84" s="334"/>
      <c r="E84" s="334"/>
      <c r="F84" s="334"/>
      <c r="G84" s="486"/>
      <c r="H84" s="333"/>
      <c r="I84" s="349"/>
      <c r="J84" s="334"/>
      <c r="K84" s="299"/>
    </row>
    <row r="85" spans="1:11" s="1280" customFormat="1" outlineLevel="1" x14ac:dyDescent="0.25">
      <c r="A85" s="518"/>
      <c r="B85" s="618" t="str">
        <f>IF(ISBLANK('N1. Demand'!B94),"",'N1. Demand'!B94)</f>
        <v>T75</v>
      </c>
      <c r="C85" s="349"/>
      <c r="D85" s="334"/>
      <c r="E85" s="334"/>
      <c r="F85" s="334"/>
      <c r="G85" s="486"/>
      <c r="H85" s="333"/>
      <c r="I85" s="349"/>
      <c r="J85" s="334"/>
      <c r="K85" s="299"/>
    </row>
    <row r="86" spans="1:11" s="345" customFormat="1" ht="15.75" outlineLevel="1" thickBot="1" x14ac:dyDescent="0.3">
      <c r="A86" s="320"/>
      <c r="B86" s="475" t="s">
        <v>640</v>
      </c>
      <c r="C86" s="1276">
        <f t="shared" ref="C86:K86" si="0">SUM(C11:C85)</f>
        <v>192640761.59819978</v>
      </c>
      <c r="D86" s="1276">
        <f t="shared" si="0"/>
        <v>209299401.47913319</v>
      </c>
      <c r="E86" s="1276">
        <f t="shared" si="0"/>
        <v>187281943.93579996</v>
      </c>
      <c r="F86" s="1276">
        <f t="shared" si="0"/>
        <v>166853055.68529999</v>
      </c>
      <c r="G86" s="1276">
        <f t="shared" si="0"/>
        <v>182292593.70900008</v>
      </c>
      <c r="H86" s="1276">
        <f t="shared" si="0"/>
        <v>194069466.6417</v>
      </c>
      <c r="I86" s="1276">
        <f t="shared" si="0"/>
        <v>210092617.13770005</v>
      </c>
      <c r="J86" s="1276">
        <f t="shared" si="0"/>
        <v>191386602.64070001</v>
      </c>
      <c r="K86" s="1276">
        <f t="shared" si="0"/>
        <v>200832854.62189999</v>
      </c>
    </row>
    <row r="87" spans="1:11" s="345" customFormat="1" x14ac:dyDescent="0.25">
      <c r="C87" s="347"/>
      <c r="D87" s="347"/>
      <c r="E87" s="347"/>
      <c r="F87" s="347"/>
      <c r="G87" s="347"/>
      <c r="H87" s="347"/>
      <c r="I87" s="437"/>
      <c r="J87" s="347"/>
      <c r="K87" s="347"/>
    </row>
    <row r="88" spans="1:11" s="521" customFormat="1" ht="15.75" thickBot="1" x14ac:dyDescent="0.3">
      <c r="C88" s="437"/>
      <c r="D88" s="437"/>
      <c r="E88" s="437"/>
      <c r="F88" s="437"/>
      <c r="G88" s="437"/>
      <c r="H88" s="437"/>
      <c r="I88" s="437"/>
      <c r="J88" s="437"/>
      <c r="K88" s="437"/>
    </row>
    <row r="89" spans="1:11" s="345" customFormat="1" ht="30.75" customHeight="1" thickBot="1" x14ac:dyDescent="0.3">
      <c r="A89" s="320"/>
      <c r="B89" s="84" t="s">
        <v>885</v>
      </c>
      <c r="C89" s="84"/>
      <c r="D89" s="84"/>
      <c r="E89" s="84"/>
      <c r="F89" s="84"/>
      <c r="G89" s="84"/>
      <c r="H89" s="84"/>
      <c r="I89" s="84"/>
      <c r="J89" s="84"/>
      <c r="K89" s="84"/>
    </row>
    <row r="90" spans="1:11" s="345" customFormat="1" ht="26.25" customHeight="1" outlineLevel="1" x14ac:dyDescent="0.25">
      <c r="A90" s="320"/>
      <c r="C90" s="1659" t="s">
        <v>662</v>
      </c>
      <c r="D90" s="1659"/>
      <c r="E90" s="1659"/>
      <c r="F90" s="1659"/>
      <c r="G90" s="1659"/>
      <c r="H90" s="1659"/>
      <c r="I90" s="1659"/>
      <c r="J90" s="1659"/>
      <c r="K90" s="1660"/>
    </row>
    <row r="91" spans="1:11" s="345" customFormat="1" ht="26.25" customHeight="1" outlineLevel="1" x14ac:dyDescent="0.25">
      <c r="A91" s="320"/>
      <c r="B91" s="598"/>
      <c r="C91" s="1661" t="s">
        <v>638</v>
      </c>
      <c r="D91" s="1661"/>
      <c r="E91" s="1661"/>
      <c r="F91" s="1661"/>
      <c r="G91" s="1661"/>
      <c r="H91" s="1661"/>
      <c r="I91" s="1661"/>
      <c r="J91" s="1661"/>
      <c r="K91" s="1662"/>
    </row>
    <row r="92" spans="1:11" s="345" customFormat="1" ht="15.75" outlineLevel="1" thickBot="1" x14ac:dyDescent="0.3">
      <c r="A92" s="320"/>
      <c r="B92" s="603" t="s">
        <v>784</v>
      </c>
      <c r="C92" s="444">
        <f ca="1">dms_y1</f>
        <v>2011</v>
      </c>
      <c r="D92" s="445">
        <f ca="1">dms_y2</f>
        <v>2012</v>
      </c>
      <c r="E92" s="445">
        <f ca="1">dms_y3</f>
        <v>2013</v>
      </c>
      <c r="F92" s="445">
        <f ca="1">dms_y4</f>
        <v>2014</v>
      </c>
      <c r="G92" s="445">
        <f ca="1">dms_y5</f>
        <v>2015</v>
      </c>
      <c r="H92" s="1318">
        <f ca="1">dms_y6</f>
        <v>2016</v>
      </c>
      <c r="I92" s="1318">
        <f ca="1">dms_y7</f>
        <v>2017</v>
      </c>
      <c r="J92" s="1318">
        <f ca="1">dms_y8</f>
        <v>2018</v>
      </c>
      <c r="K92" s="1318">
        <f ca="1">dms_y9</f>
        <v>2019</v>
      </c>
    </row>
    <row r="93" spans="1:11" s="521" customFormat="1" outlineLevel="1" x14ac:dyDescent="0.25">
      <c r="A93" s="518"/>
      <c r="B93" s="599" t="s">
        <v>1315</v>
      </c>
      <c r="C93" s="468">
        <v>343207.35</v>
      </c>
      <c r="D93" s="330">
        <v>382805.11</v>
      </c>
      <c r="E93" s="330">
        <v>366831.99999999726</v>
      </c>
      <c r="F93" s="330">
        <v>324752.89999999816</v>
      </c>
      <c r="G93" s="472">
        <v>323813.31999999861</v>
      </c>
      <c r="H93" s="329">
        <v>274097.47000000166</v>
      </c>
      <c r="I93" s="348">
        <v>278962.46999999997</v>
      </c>
      <c r="J93" s="330">
        <v>248725.07999999978</v>
      </c>
      <c r="K93" s="331">
        <v>178590.39000000068</v>
      </c>
    </row>
    <row r="94" spans="1:11" s="521" customFormat="1" outlineLevel="1" x14ac:dyDescent="0.25">
      <c r="A94" s="518"/>
      <c r="B94" s="600" t="s">
        <v>1316</v>
      </c>
      <c r="C94" s="597">
        <v>512119.11</v>
      </c>
      <c r="D94" s="568">
        <v>540066</v>
      </c>
      <c r="E94" s="568">
        <v>606902.39999999676</v>
      </c>
      <c r="F94" s="568">
        <v>632838.3400000066</v>
      </c>
      <c r="G94" s="571">
        <v>733071.87000001292</v>
      </c>
      <c r="H94" s="570">
        <v>671114.85999998834</v>
      </c>
      <c r="I94" s="1305">
        <v>763283.35</v>
      </c>
      <c r="J94" s="568">
        <v>722526.0600000188</v>
      </c>
      <c r="K94" s="569">
        <v>489569.5200000031</v>
      </c>
    </row>
    <row r="95" spans="1:11" s="521" customFormat="1" outlineLevel="1" x14ac:dyDescent="0.25">
      <c r="A95" s="518"/>
      <c r="B95" s="601" t="s">
        <v>1317</v>
      </c>
      <c r="C95" s="480">
        <v>7229</v>
      </c>
      <c r="D95" s="334">
        <v>26529</v>
      </c>
      <c r="E95" s="334">
        <v>32641.7</v>
      </c>
      <c r="F95" s="334">
        <v>2541</v>
      </c>
      <c r="G95" s="486">
        <v>0</v>
      </c>
      <c r="H95" s="333">
        <v>0</v>
      </c>
      <c r="I95" s="349">
        <v>0</v>
      </c>
      <c r="J95" s="334">
        <v>40965.14</v>
      </c>
      <c r="K95" s="299">
        <v>32267.14</v>
      </c>
    </row>
    <row r="96" spans="1:11" s="521" customFormat="1" outlineLevel="1" x14ac:dyDescent="0.25">
      <c r="A96" s="518"/>
      <c r="B96" s="600" t="s">
        <v>1318</v>
      </c>
      <c r="C96" s="597">
        <v>1181824.7300000933</v>
      </c>
      <c r="D96" s="568">
        <v>1283959.8499999689</v>
      </c>
      <c r="E96" s="568">
        <v>1581508.2799998836</v>
      </c>
      <c r="F96" s="568">
        <v>1573660.140000131</v>
      </c>
      <c r="G96" s="571">
        <v>1716467.6499997114</v>
      </c>
      <c r="H96" s="570">
        <v>2031132.0500001456</v>
      </c>
      <c r="I96" s="1305">
        <v>2085208.7500002866</v>
      </c>
      <c r="J96" s="568">
        <v>2294360.3500003396</v>
      </c>
      <c r="K96" s="569">
        <v>2172388.3100001556</v>
      </c>
    </row>
    <row r="97" spans="1:11" s="521" customFormat="1" outlineLevel="1" x14ac:dyDescent="0.25">
      <c r="A97" s="518"/>
      <c r="B97" s="601"/>
      <c r="C97" s="480"/>
      <c r="D97" s="334"/>
      <c r="E97" s="334"/>
      <c r="F97" s="334"/>
      <c r="G97" s="486"/>
      <c r="H97" s="333"/>
      <c r="I97" s="349"/>
      <c r="J97" s="334"/>
      <c r="K97" s="299"/>
    </row>
    <row r="98" spans="1:11" s="521" customFormat="1" outlineLevel="1" x14ac:dyDescent="0.25">
      <c r="A98" s="518"/>
      <c r="B98" s="600"/>
      <c r="C98" s="597"/>
      <c r="D98" s="568"/>
      <c r="E98" s="568"/>
      <c r="F98" s="568"/>
      <c r="G98" s="571"/>
      <c r="H98" s="570"/>
      <c r="I98" s="1305"/>
      <c r="J98" s="568"/>
      <c r="K98" s="569"/>
    </row>
    <row r="99" spans="1:11" s="521" customFormat="1" outlineLevel="1" x14ac:dyDescent="0.25">
      <c r="A99" s="518"/>
      <c r="B99" s="601"/>
      <c r="C99" s="480"/>
      <c r="D99" s="334"/>
      <c r="E99" s="334"/>
      <c r="F99" s="334"/>
      <c r="G99" s="486"/>
      <c r="H99" s="333"/>
      <c r="I99" s="349"/>
      <c r="J99" s="334"/>
      <c r="K99" s="299"/>
    </row>
    <row r="100" spans="1:11" s="521" customFormat="1" outlineLevel="1" x14ac:dyDescent="0.25">
      <c r="A100" s="518"/>
      <c r="B100" s="600"/>
      <c r="C100" s="597"/>
      <c r="D100" s="568"/>
      <c r="E100" s="568"/>
      <c r="F100" s="568"/>
      <c r="G100" s="571"/>
      <c r="H100" s="570"/>
      <c r="I100" s="1305"/>
      <c r="J100" s="568"/>
      <c r="K100" s="569"/>
    </row>
    <row r="101" spans="1:11" s="521" customFormat="1" ht="15.75" outlineLevel="1" thickBot="1" x14ac:dyDescent="0.3">
      <c r="A101" s="518"/>
      <c r="B101" s="602"/>
      <c r="C101" s="481"/>
      <c r="D101" s="337"/>
      <c r="E101" s="337"/>
      <c r="F101" s="337"/>
      <c r="G101" s="507"/>
      <c r="H101" s="336"/>
      <c r="I101" s="351"/>
      <c r="J101" s="337"/>
      <c r="K101" s="338"/>
    </row>
    <row r="102" spans="1:11" s="521" customFormat="1" ht="15.75" outlineLevel="1" thickBot="1" x14ac:dyDescent="0.3">
      <c r="A102" s="518"/>
      <c r="B102" s="589" t="s">
        <v>640</v>
      </c>
      <c r="C102" s="590">
        <f t="shared" ref="C102:D102" si="1">SUM(C93:C101)</f>
        <v>2044380.1900000933</v>
      </c>
      <c r="D102" s="590">
        <f t="shared" si="1"/>
        <v>2233359.9599999688</v>
      </c>
      <c r="E102" s="590">
        <f>SUM(E93:E101)</f>
        <v>2587884.3799998779</v>
      </c>
      <c r="F102" s="590">
        <f t="shared" ref="F102:G102" si="2">SUM(F93:F101)</f>
        <v>2533792.3800001359</v>
      </c>
      <c r="G102" s="590">
        <f t="shared" si="2"/>
        <v>2773352.8399997232</v>
      </c>
      <c r="H102" s="590">
        <f t="shared" ref="H102:K102" si="3">SUM(H93:H101)</f>
        <v>2976344.3800001359</v>
      </c>
      <c r="I102" s="590">
        <f t="shared" si="3"/>
        <v>3127454.5700002867</v>
      </c>
      <c r="J102" s="590">
        <f t="shared" si="3"/>
        <v>3306576.630000358</v>
      </c>
      <c r="K102" s="458">
        <f t="shared" si="3"/>
        <v>2872815.3600001596</v>
      </c>
    </row>
    <row r="103" spans="1:11" s="345" customFormat="1" x14ac:dyDescent="0.25">
      <c r="I103" s="1294"/>
    </row>
    <row r="104" spans="1:11" s="345" customFormat="1" ht="15.75" thickBot="1" x14ac:dyDescent="0.3">
      <c r="C104" s="347"/>
      <c r="D104" s="347"/>
      <c r="E104" s="347"/>
      <c r="F104" s="347"/>
      <c r="G104" s="347"/>
      <c r="H104" s="347"/>
      <c r="I104" s="437"/>
      <c r="J104" s="347"/>
      <c r="K104" s="347"/>
    </row>
    <row r="105" spans="1:11" s="345" customFormat="1" ht="30.75" customHeight="1" thickBot="1" x14ac:dyDescent="0.3">
      <c r="A105" s="320"/>
      <c r="B105" s="84" t="s">
        <v>886</v>
      </c>
      <c r="C105" s="84"/>
      <c r="D105" s="84"/>
      <c r="E105" s="84"/>
      <c r="F105" s="84"/>
      <c r="G105" s="84"/>
      <c r="H105" s="84"/>
      <c r="I105" s="84"/>
      <c r="J105" s="84"/>
      <c r="K105" s="84"/>
    </row>
    <row r="106" spans="1:11" s="345" customFormat="1" ht="26.25" customHeight="1" outlineLevel="1" x14ac:dyDescent="0.25">
      <c r="A106" s="320"/>
      <c r="C106" s="1659" t="s">
        <v>662</v>
      </c>
      <c r="D106" s="1659"/>
      <c r="E106" s="1659"/>
      <c r="F106" s="1659"/>
      <c r="G106" s="1659"/>
      <c r="H106" s="1659"/>
      <c r="I106" s="1659"/>
      <c r="J106" s="1659"/>
      <c r="K106" s="1660"/>
    </row>
    <row r="107" spans="1:11" s="345" customFormat="1" ht="26.25" customHeight="1" outlineLevel="1" x14ac:dyDescent="0.25">
      <c r="A107" s="320"/>
      <c r="C107" s="1661" t="s">
        <v>638</v>
      </c>
      <c r="D107" s="1661"/>
      <c r="E107" s="1661"/>
      <c r="F107" s="1661"/>
      <c r="G107" s="1661"/>
      <c r="H107" s="1661"/>
      <c r="I107" s="1661"/>
      <c r="J107" s="1661"/>
      <c r="K107" s="1662"/>
    </row>
    <row r="108" spans="1:11" s="345" customFormat="1" ht="15.75" outlineLevel="1" thickBot="1" x14ac:dyDescent="0.3">
      <c r="A108" s="320"/>
      <c r="B108" s="603" t="s">
        <v>784</v>
      </c>
      <c r="C108" s="444">
        <f ca="1">dms_y1</f>
        <v>2011</v>
      </c>
      <c r="D108" s="445">
        <f ca="1">dms_y2</f>
        <v>2012</v>
      </c>
      <c r="E108" s="445">
        <f ca="1">dms_y3</f>
        <v>2013</v>
      </c>
      <c r="F108" s="445">
        <f ca="1">dms_y4</f>
        <v>2014</v>
      </c>
      <c r="G108" s="445">
        <f ca="1">dms_y5</f>
        <v>2015</v>
      </c>
      <c r="H108" s="1318">
        <f ca="1">dms_y6</f>
        <v>2016</v>
      </c>
      <c r="I108" s="1318">
        <f ca="1">dms_y7</f>
        <v>2017</v>
      </c>
      <c r="J108" s="1318">
        <f ca="1">dms_y8</f>
        <v>2018</v>
      </c>
      <c r="K108" s="1318">
        <f ca="1">dms_y9</f>
        <v>2019</v>
      </c>
    </row>
    <row r="109" spans="1:11" s="521" customFormat="1" outlineLevel="1" x14ac:dyDescent="0.25">
      <c r="A109" s="518"/>
      <c r="B109" s="574"/>
      <c r="C109" s="636"/>
      <c r="D109" s="637"/>
      <c r="E109" s="637"/>
      <c r="F109" s="637"/>
      <c r="G109" s="638"/>
      <c r="H109" s="637"/>
      <c r="I109" s="637"/>
      <c r="J109" s="637"/>
      <c r="K109" s="639"/>
    </row>
    <row r="110" spans="1:11" s="521" customFormat="1" outlineLevel="1" x14ac:dyDescent="0.25">
      <c r="A110" s="518"/>
      <c r="B110" s="575"/>
      <c r="C110" s="480"/>
      <c r="D110" s="334"/>
      <c r="E110" s="334"/>
      <c r="F110" s="334"/>
      <c r="G110" s="350"/>
      <c r="H110" s="334"/>
      <c r="I110" s="334"/>
      <c r="J110" s="334"/>
      <c r="K110" s="299"/>
    </row>
    <row r="111" spans="1:11" s="521" customFormat="1" outlineLevel="1" x14ac:dyDescent="0.25">
      <c r="A111" s="518"/>
      <c r="B111" s="576"/>
      <c r="C111" s="597"/>
      <c r="D111" s="568"/>
      <c r="E111" s="568"/>
      <c r="F111" s="568"/>
      <c r="G111" s="573"/>
      <c r="H111" s="568"/>
      <c r="I111" s="568"/>
      <c r="J111" s="568"/>
      <c r="K111" s="569"/>
    </row>
    <row r="112" spans="1:11" s="521" customFormat="1" outlineLevel="1" x14ac:dyDescent="0.25">
      <c r="A112" s="518"/>
      <c r="B112" s="575"/>
      <c r="C112" s="480"/>
      <c r="D112" s="334"/>
      <c r="E112" s="334"/>
      <c r="F112" s="334"/>
      <c r="G112" s="350"/>
      <c r="H112" s="334"/>
      <c r="I112" s="334"/>
      <c r="J112" s="334"/>
      <c r="K112" s="299"/>
    </row>
    <row r="113" spans="1:11" s="521" customFormat="1" outlineLevel="1" x14ac:dyDescent="0.25">
      <c r="A113" s="518"/>
      <c r="B113" s="576"/>
      <c r="C113" s="597"/>
      <c r="D113" s="568"/>
      <c r="E113" s="568"/>
      <c r="F113" s="568"/>
      <c r="G113" s="573"/>
      <c r="H113" s="568"/>
      <c r="I113" s="568"/>
      <c r="J113" s="568"/>
      <c r="K113" s="569"/>
    </row>
    <row r="114" spans="1:11" s="521" customFormat="1" ht="15.75" outlineLevel="1" thickBot="1" x14ac:dyDescent="0.3">
      <c r="A114" s="518"/>
      <c r="B114" s="577"/>
      <c r="C114" s="481"/>
      <c r="D114" s="337"/>
      <c r="E114" s="337"/>
      <c r="F114" s="337"/>
      <c r="G114" s="352"/>
      <c r="H114" s="337"/>
      <c r="I114" s="337"/>
      <c r="J114" s="337"/>
      <c r="K114" s="338"/>
    </row>
    <row r="115" spans="1:11" s="521" customFormat="1" ht="15.75" outlineLevel="1" thickBot="1" x14ac:dyDescent="0.3">
      <c r="A115" s="518"/>
      <c r="B115" s="589" t="s">
        <v>640</v>
      </c>
      <c r="C115" s="590">
        <f>SUM(C109:C114)</f>
        <v>0</v>
      </c>
      <c r="D115" s="590">
        <f>SUM(D109:D114)</f>
        <v>0</v>
      </c>
      <c r="E115" s="590">
        <f t="shared" ref="E115:K115" si="4">SUM(E109:E114)</f>
        <v>0</v>
      </c>
      <c r="F115" s="590">
        <f t="shared" si="4"/>
        <v>0</v>
      </c>
      <c r="G115" s="590">
        <f t="shared" si="4"/>
        <v>0</v>
      </c>
      <c r="H115" s="590">
        <f t="shared" si="4"/>
        <v>0</v>
      </c>
      <c r="I115" s="590">
        <f t="shared" si="4"/>
        <v>0</v>
      </c>
      <c r="J115" s="590">
        <f t="shared" si="4"/>
        <v>0</v>
      </c>
      <c r="K115" s="590">
        <f t="shared" si="4"/>
        <v>0</v>
      </c>
    </row>
    <row r="116" spans="1:11" s="345" customFormat="1" x14ac:dyDescent="0.25">
      <c r="C116" s="347"/>
      <c r="D116" s="347"/>
      <c r="E116" s="347"/>
      <c r="F116" s="347"/>
      <c r="G116" s="347"/>
      <c r="H116" s="347"/>
      <c r="I116" s="437"/>
      <c r="J116" s="347"/>
      <c r="K116" s="347"/>
    </row>
    <row r="117" spans="1:11" s="345" customFormat="1" ht="15.75" thickBot="1" x14ac:dyDescent="0.3">
      <c r="C117" s="347"/>
      <c r="D117" s="347"/>
      <c r="E117" s="347"/>
      <c r="F117" s="347"/>
      <c r="G117" s="347"/>
      <c r="H117" s="347"/>
      <c r="I117" s="437"/>
      <c r="J117" s="347"/>
      <c r="K117" s="347"/>
    </row>
    <row r="118" spans="1:11" s="345" customFormat="1" ht="30.75" customHeight="1" thickBot="1" x14ac:dyDescent="0.3">
      <c r="A118" s="320"/>
      <c r="B118" s="84" t="s">
        <v>887</v>
      </c>
      <c r="C118" s="84"/>
      <c r="D118" s="84"/>
      <c r="E118" s="84"/>
      <c r="F118" s="84"/>
      <c r="G118" s="84"/>
      <c r="H118" s="84"/>
      <c r="I118" s="84"/>
      <c r="J118" s="84"/>
      <c r="K118" s="84"/>
    </row>
    <row r="119" spans="1:11" s="345" customFormat="1" ht="26.25" customHeight="1" outlineLevel="1" x14ac:dyDescent="0.25">
      <c r="A119" s="320"/>
      <c r="C119" s="1659" t="s">
        <v>662</v>
      </c>
      <c r="D119" s="1659"/>
      <c r="E119" s="1659"/>
      <c r="F119" s="1659"/>
      <c r="G119" s="1659"/>
      <c r="H119" s="1659"/>
      <c r="I119" s="1659"/>
      <c r="J119" s="1659"/>
      <c r="K119" s="1660"/>
    </row>
    <row r="120" spans="1:11" s="345" customFormat="1" ht="26.25" customHeight="1" outlineLevel="1" x14ac:dyDescent="0.25">
      <c r="A120" s="320"/>
      <c r="C120" s="1661" t="s">
        <v>638</v>
      </c>
      <c r="D120" s="1661"/>
      <c r="E120" s="1661"/>
      <c r="F120" s="1661"/>
      <c r="G120" s="1661"/>
      <c r="H120" s="1661"/>
      <c r="I120" s="1661"/>
      <c r="J120" s="1661"/>
      <c r="K120" s="1662"/>
    </row>
    <row r="121" spans="1:11" s="345" customFormat="1" ht="15.75" outlineLevel="1" thickBot="1" x14ac:dyDescent="0.3">
      <c r="A121" s="320"/>
      <c r="B121" s="603" t="s">
        <v>784</v>
      </c>
      <c r="C121" s="444">
        <f ca="1">dms_y1</f>
        <v>2011</v>
      </c>
      <c r="D121" s="445">
        <f ca="1">dms_y2</f>
        <v>2012</v>
      </c>
      <c r="E121" s="445">
        <f ca="1">dms_y3</f>
        <v>2013</v>
      </c>
      <c r="F121" s="445">
        <f ca="1">dms_y4</f>
        <v>2014</v>
      </c>
      <c r="G121" s="445">
        <f ca="1">dms_y5</f>
        <v>2015</v>
      </c>
      <c r="H121" s="1318">
        <f ca="1">dms_y6</f>
        <v>2016</v>
      </c>
      <c r="I121" s="1318">
        <f ca="1">dms_y7</f>
        <v>2017</v>
      </c>
      <c r="J121" s="1318">
        <f ca="1">dms_y8</f>
        <v>2018</v>
      </c>
      <c r="K121" s="1318">
        <f ca="1">dms_y9</f>
        <v>2019</v>
      </c>
    </row>
    <row r="122" spans="1:11" s="521" customFormat="1" outlineLevel="1" x14ac:dyDescent="0.25">
      <c r="A122" s="518"/>
      <c r="B122" s="574" t="s">
        <v>1347</v>
      </c>
      <c r="C122" s="597">
        <v>2131050.7580765453</v>
      </c>
      <c r="D122" s="568">
        <v>2277922.5407468765</v>
      </c>
      <c r="E122" s="568">
        <v>1833276.4415647807</v>
      </c>
      <c r="F122" s="568">
        <v>2455026.9443703424</v>
      </c>
      <c r="G122" s="573">
        <v>2627279.6776417922</v>
      </c>
      <c r="H122" s="568">
        <v>5672317.9900000002</v>
      </c>
      <c r="I122" s="568">
        <v>1976940.070000001</v>
      </c>
      <c r="J122" s="568">
        <v>1965984.4600000007</v>
      </c>
      <c r="K122" s="569">
        <v>2773155.2400000012</v>
      </c>
    </row>
    <row r="123" spans="1:11" s="521" customFormat="1" outlineLevel="1" x14ac:dyDescent="0.25">
      <c r="A123" s="518"/>
      <c r="B123" s="575"/>
      <c r="C123" s="480"/>
      <c r="D123" s="334"/>
      <c r="E123" s="334"/>
      <c r="F123" s="334"/>
      <c r="G123" s="350"/>
      <c r="H123" s="334"/>
      <c r="I123" s="334"/>
      <c r="J123" s="334"/>
      <c r="K123" s="299"/>
    </row>
    <row r="124" spans="1:11" s="521" customFormat="1" outlineLevel="1" x14ac:dyDescent="0.25">
      <c r="A124" s="518"/>
      <c r="B124" s="576"/>
      <c r="C124" s="597"/>
      <c r="D124" s="568"/>
      <c r="E124" s="568"/>
      <c r="F124" s="568"/>
      <c r="G124" s="573"/>
      <c r="H124" s="568"/>
      <c r="I124" s="568"/>
      <c r="J124" s="568"/>
      <c r="K124" s="569"/>
    </row>
    <row r="125" spans="1:11" s="521" customFormat="1" outlineLevel="1" x14ac:dyDescent="0.25">
      <c r="A125" s="518"/>
      <c r="B125" s="575"/>
      <c r="C125" s="480"/>
      <c r="D125" s="334"/>
      <c r="E125" s="334"/>
      <c r="F125" s="334"/>
      <c r="G125" s="350"/>
      <c r="H125" s="334"/>
      <c r="I125" s="334"/>
      <c r="J125" s="334"/>
      <c r="K125" s="299"/>
    </row>
    <row r="126" spans="1:11" s="521" customFormat="1" outlineLevel="1" x14ac:dyDescent="0.25">
      <c r="A126" s="518"/>
      <c r="B126" s="576"/>
      <c r="C126" s="597"/>
      <c r="D126" s="568"/>
      <c r="E126" s="568"/>
      <c r="F126" s="568"/>
      <c r="G126" s="573"/>
      <c r="H126" s="568"/>
      <c r="I126" s="568"/>
      <c r="J126" s="568"/>
      <c r="K126" s="569"/>
    </row>
    <row r="127" spans="1:11" s="521" customFormat="1" ht="15.75" outlineLevel="1" thickBot="1" x14ac:dyDescent="0.3">
      <c r="A127" s="518"/>
      <c r="B127" s="577"/>
      <c r="C127" s="481"/>
      <c r="D127" s="337"/>
      <c r="E127" s="337"/>
      <c r="F127" s="337"/>
      <c r="G127" s="352"/>
      <c r="H127" s="337"/>
      <c r="I127" s="337"/>
      <c r="J127" s="337"/>
      <c r="K127" s="338"/>
    </row>
    <row r="128" spans="1:11" s="521" customFormat="1" ht="15.75" outlineLevel="1" thickBot="1" x14ac:dyDescent="0.3">
      <c r="A128" s="518"/>
      <c r="B128" s="589" t="s">
        <v>640</v>
      </c>
      <c r="C128" s="590">
        <f t="shared" ref="C128" si="5">SUM(C122:C127)</f>
        <v>2131050.7580765453</v>
      </c>
      <c r="D128" s="590">
        <f>SUM(D122:D127)</f>
        <v>2277922.5407468765</v>
      </c>
      <c r="E128" s="590">
        <f t="shared" ref="E128:K128" si="6">SUM(E122:E127)</f>
        <v>1833276.4415647807</v>
      </c>
      <c r="F128" s="590">
        <f t="shared" si="6"/>
        <v>2455026.9443703424</v>
      </c>
      <c r="G128" s="590">
        <f t="shared" si="6"/>
        <v>2627279.6776417922</v>
      </c>
      <c r="H128" s="590">
        <f t="shared" si="6"/>
        <v>5672317.9900000002</v>
      </c>
      <c r="I128" s="590">
        <f t="shared" si="6"/>
        <v>1976940.070000001</v>
      </c>
      <c r="J128" s="590">
        <f t="shared" si="6"/>
        <v>1965984.4600000007</v>
      </c>
      <c r="K128" s="458">
        <f t="shared" si="6"/>
        <v>2773155.2400000012</v>
      </c>
    </row>
    <row r="129" spans="1:11" s="345" customFormat="1" x14ac:dyDescent="0.25">
      <c r="A129" s="320"/>
      <c r="I129" s="1294"/>
      <c r="K129" s="346"/>
    </row>
    <row r="130" spans="1:11" s="521" customFormat="1" ht="15.75" thickBot="1" x14ac:dyDescent="0.3">
      <c r="A130" s="518"/>
      <c r="I130" s="1294"/>
      <c r="K130" s="346"/>
    </row>
    <row r="131" spans="1:11" s="345" customFormat="1" ht="30.75" customHeight="1" thickBot="1" x14ac:dyDescent="0.3">
      <c r="A131" s="320"/>
      <c r="B131" s="84" t="s">
        <v>888</v>
      </c>
      <c r="C131" s="84"/>
      <c r="D131" s="84"/>
      <c r="E131" s="84"/>
      <c r="F131" s="84"/>
      <c r="G131" s="84"/>
      <c r="H131" s="84"/>
      <c r="I131" s="84"/>
      <c r="J131" s="84"/>
      <c r="K131" s="84"/>
    </row>
    <row r="132" spans="1:11" s="1288" customFormat="1" ht="25.5" customHeight="1" outlineLevel="1" x14ac:dyDescent="0.25">
      <c r="A132" s="518"/>
      <c r="C132" s="1659" t="s">
        <v>662</v>
      </c>
      <c r="D132" s="1659"/>
      <c r="E132" s="1659"/>
      <c r="F132" s="1659"/>
      <c r="G132" s="1659"/>
      <c r="H132" s="1659"/>
      <c r="I132" s="1659"/>
      <c r="J132" s="1659"/>
      <c r="K132" s="1660"/>
    </row>
    <row r="133" spans="1:11" s="1288" customFormat="1" ht="26.25" customHeight="1" outlineLevel="1" x14ac:dyDescent="0.25">
      <c r="A133" s="518"/>
      <c r="C133" s="1661" t="s">
        <v>638</v>
      </c>
      <c r="D133" s="1661"/>
      <c r="E133" s="1661"/>
      <c r="F133" s="1661"/>
      <c r="G133" s="1661"/>
      <c r="H133" s="1661"/>
      <c r="I133" s="1661"/>
      <c r="J133" s="1661"/>
      <c r="K133" s="1662"/>
    </row>
    <row r="134" spans="1:11" s="521" customFormat="1" ht="23.25" customHeight="1" outlineLevel="1" thickBot="1" x14ac:dyDescent="0.3">
      <c r="A134" s="518"/>
      <c r="B134" s="452"/>
      <c r="C134" s="444">
        <f ca="1">dms_y1</f>
        <v>2011</v>
      </c>
      <c r="D134" s="445">
        <f ca="1">dms_y2</f>
        <v>2012</v>
      </c>
      <c r="E134" s="445">
        <f ca="1">dms_y3</f>
        <v>2013</v>
      </c>
      <c r="F134" s="445">
        <f ca="1">dms_y4</f>
        <v>2014</v>
      </c>
      <c r="G134" s="445">
        <f ca="1">dms_y5</f>
        <v>2015</v>
      </c>
      <c r="H134" s="1318">
        <f ca="1">dms_y6</f>
        <v>2016</v>
      </c>
      <c r="I134" s="1318">
        <f ca="1">dms_y7</f>
        <v>2017</v>
      </c>
      <c r="J134" s="1318">
        <f ca="1">dms_y8</f>
        <v>2018</v>
      </c>
      <c r="K134" s="1318">
        <f ca="1">dms_y9</f>
        <v>2019</v>
      </c>
    </row>
    <row r="135" spans="1:11" s="345" customFormat="1" ht="32.25" customHeight="1" outlineLevel="1" thickBot="1" x14ac:dyDescent="0.3">
      <c r="A135" s="320"/>
      <c r="B135" s="1289" t="s">
        <v>778</v>
      </c>
      <c r="C135" s="590">
        <f t="shared" ref="C135:K135" si="7">SUM(C128,C115,C102,C86)</f>
        <v>196816192.54627642</v>
      </c>
      <c r="D135" s="590">
        <f t="shared" si="7"/>
        <v>213810683.97988003</v>
      </c>
      <c r="E135" s="590">
        <f t="shared" si="7"/>
        <v>191703104.7573646</v>
      </c>
      <c r="F135" s="590">
        <f t="shared" si="7"/>
        <v>171841875.00967047</v>
      </c>
      <c r="G135" s="590">
        <f t="shared" si="7"/>
        <v>187693226.2266416</v>
      </c>
      <c r="H135" s="590">
        <f t="shared" si="7"/>
        <v>202718129.01170012</v>
      </c>
      <c r="I135" s="590">
        <f t="shared" si="7"/>
        <v>215197011.77770033</v>
      </c>
      <c r="J135" s="590">
        <f t="shared" si="7"/>
        <v>196659163.73070037</v>
      </c>
      <c r="K135" s="590">
        <f t="shared" si="7"/>
        <v>206478825.22190017</v>
      </c>
    </row>
    <row r="136" spans="1:11" s="345" customFormat="1" x14ac:dyDescent="0.25">
      <c r="I136" s="1294"/>
      <c r="K136" s="346"/>
    </row>
    <row r="137" spans="1:11" ht="15.75" thickBot="1" x14ac:dyDescent="0.3"/>
    <row r="138" spans="1:11" s="1288" customFormat="1" ht="30.75" customHeight="1" thickBot="1" x14ac:dyDescent="0.3">
      <c r="A138" s="518"/>
      <c r="B138" s="84" t="s">
        <v>1204</v>
      </c>
      <c r="C138" s="84"/>
      <c r="D138" s="84"/>
      <c r="E138" s="84"/>
      <c r="F138" s="84"/>
      <c r="G138" s="84"/>
      <c r="H138" s="84"/>
      <c r="I138" s="84"/>
      <c r="J138" s="84"/>
      <c r="K138" s="84"/>
    </row>
    <row r="139" spans="1:11" outlineLevel="1" x14ac:dyDescent="0.25">
      <c r="B139" s="1288"/>
      <c r="C139" s="1659" t="s">
        <v>1206</v>
      </c>
      <c r="D139" s="1659"/>
      <c r="E139" s="1659"/>
      <c r="F139" s="1659"/>
      <c r="G139" s="1659"/>
      <c r="H139" s="1659"/>
      <c r="I139" s="1659"/>
      <c r="J139" s="1659"/>
      <c r="K139" s="1660"/>
    </row>
    <row r="140" spans="1:11" outlineLevel="1" x14ac:dyDescent="0.25">
      <c r="B140" s="1288"/>
      <c r="C140" s="1661" t="s">
        <v>638</v>
      </c>
      <c r="D140" s="1661"/>
      <c r="E140" s="1661"/>
      <c r="F140" s="1661"/>
      <c r="G140" s="1661"/>
      <c r="H140" s="1661"/>
      <c r="I140" s="1661"/>
      <c r="J140" s="1661"/>
      <c r="K140" s="1662"/>
    </row>
    <row r="141" spans="1:11" ht="15.75" outlineLevel="1" thickBot="1" x14ac:dyDescent="0.3">
      <c r="B141" s="603" t="s">
        <v>1205</v>
      </c>
      <c r="C141" s="444">
        <f ca="1">dms_y1</f>
        <v>2011</v>
      </c>
      <c r="D141" s="445">
        <f ca="1">dms_y2</f>
        <v>2012</v>
      </c>
      <c r="E141" s="445">
        <f ca="1">dms_y3</f>
        <v>2013</v>
      </c>
      <c r="F141" s="445">
        <f ca="1">dms_y4</f>
        <v>2014</v>
      </c>
      <c r="G141" s="445">
        <f ca="1">dms_y5</f>
        <v>2015</v>
      </c>
      <c r="H141" s="1318">
        <f ca="1">dms_y6</f>
        <v>2016</v>
      </c>
      <c r="I141" s="1318">
        <f ca="1">dms_y7</f>
        <v>2017</v>
      </c>
      <c r="J141" s="1318">
        <f ca="1">dms_y8</f>
        <v>2018</v>
      </c>
      <c r="K141" s="1318">
        <f ca="1">dms_y9</f>
        <v>2019</v>
      </c>
    </row>
    <row r="142" spans="1:11" outlineLevel="1" x14ac:dyDescent="0.25">
      <c r="B142" s="574" t="s">
        <v>1348</v>
      </c>
      <c r="C142" s="636">
        <v>9227598.1296112631</v>
      </c>
      <c r="D142" s="637">
        <v>9502039.6074445285</v>
      </c>
      <c r="E142" s="637">
        <v>4230406.6452824073</v>
      </c>
      <c r="F142" s="637">
        <v>3848455.7054530415</v>
      </c>
      <c r="G142" s="638">
        <v>3980832.3335568183</v>
      </c>
      <c r="H142" s="637">
        <v>4138321.8536885567</v>
      </c>
      <c r="I142" s="637">
        <v>4371517.3123936187</v>
      </c>
      <c r="J142" s="637">
        <v>1866623.6347565649</v>
      </c>
      <c r="K142" s="639">
        <v>1913249.4400318542</v>
      </c>
    </row>
    <row r="143" spans="1:11" outlineLevel="1" x14ac:dyDescent="0.25">
      <c r="B143" s="575"/>
      <c r="C143" s="480"/>
      <c r="D143" s="334"/>
      <c r="E143" s="334"/>
      <c r="F143" s="334"/>
      <c r="G143" s="350"/>
      <c r="H143" s="334"/>
      <c r="I143" s="334"/>
      <c r="J143" s="334"/>
      <c r="K143" s="299"/>
    </row>
    <row r="144" spans="1:11" outlineLevel="1" x14ac:dyDescent="0.25">
      <c r="B144" s="576"/>
      <c r="C144" s="597"/>
      <c r="D144" s="568"/>
      <c r="E144" s="568"/>
      <c r="F144" s="568"/>
      <c r="G144" s="573"/>
      <c r="H144" s="568"/>
      <c r="I144" s="568"/>
      <c r="J144" s="568"/>
      <c r="K144" s="569"/>
    </row>
    <row r="145" spans="2:11" outlineLevel="1" x14ac:dyDescent="0.25">
      <c r="B145" s="575"/>
      <c r="C145" s="480"/>
      <c r="D145" s="334"/>
      <c r="E145" s="334"/>
      <c r="F145" s="334"/>
      <c r="G145" s="350"/>
      <c r="H145" s="334"/>
      <c r="I145" s="334"/>
      <c r="J145" s="334"/>
      <c r="K145" s="299"/>
    </row>
    <row r="146" spans="2:11" ht="15.75" outlineLevel="1" thickBot="1" x14ac:dyDescent="0.3">
      <c r="B146" s="589" t="s">
        <v>640</v>
      </c>
      <c r="C146" s="590">
        <f t="shared" ref="C146:K146" si="8">SUM(C142:C145)</f>
        <v>9227598.1296112631</v>
      </c>
      <c r="D146" s="590">
        <f t="shared" si="8"/>
        <v>9502039.6074445285</v>
      </c>
      <c r="E146" s="590">
        <f t="shared" si="8"/>
        <v>4230406.6452824073</v>
      </c>
      <c r="F146" s="590">
        <f t="shared" si="8"/>
        <v>3848455.7054530415</v>
      </c>
      <c r="G146" s="590">
        <f t="shared" si="8"/>
        <v>3980832.3335568183</v>
      </c>
      <c r="H146" s="590">
        <f t="shared" si="8"/>
        <v>4138321.8536885567</v>
      </c>
      <c r="I146" s="590">
        <f t="shared" si="8"/>
        <v>4371517.3123936187</v>
      </c>
      <c r="J146" s="590">
        <f t="shared" si="8"/>
        <v>1866623.6347565649</v>
      </c>
      <c r="K146" s="590">
        <f t="shared" si="8"/>
        <v>1913249.4400318542</v>
      </c>
    </row>
  </sheetData>
  <mergeCells count="12">
    <mergeCell ref="C139:K139"/>
    <mergeCell ref="C140:K140"/>
    <mergeCell ref="C132:K132"/>
    <mergeCell ref="C133:K133"/>
    <mergeCell ref="C119:K119"/>
    <mergeCell ref="C120:K120"/>
    <mergeCell ref="C106:K106"/>
    <mergeCell ref="C107:K107"/>
    <mergeCell ref="C8:K8"/>
    <mergeCell ref="C9:K9"/>
    <mergeCell ref="C90:K90"/>
    <mergeCell ref="C91:K91"/>
  </mergeCells>
  <dataValidations count="1">
    <dataValidation allowBlank="1" showInputMessage="1" showErrorMessage="1" promptTitle="Tariff" prompt="For consistency in AER database, tariff names in this worksheet are populated from tariffs names entered in worksheet N1. Demand." sqref="B11:B85"/>
  </dataValidations>
  <pageMargins left="0.7" right="0.7" top="0.75" bottom="0.75" header="0.3" footer="0.3"/>
  <pageSetup paperSize="9" orientation="portrait" r:id="rId1"/>
  <customProperties>
    <customPr name="_pios_id" r:id="rId2"/>
    <customPr name="EpmWorksheetKeyString_GUID" r:id="rId3"/>
  </customProperties>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59999389629810485"/>
  </sheetPr>
  <dimension ref="A1:L49"/>
  <sheetViews>
    <sheetView showGridLines="0" topLeftCell="B7" zoomScale="70" zoomScaleNormal="70" workbookViewId="0">
      <pane xSplit="1" ySplit="4" topLeftCell="C11" activePane="bottomRight" state="frozen"/>
      <selection activeCell="A2" sqref="A2"/>
      <selection pane="topRight" activeCell="A2" sqref="A2"/>
      <selection pane="bottomLeft" activeCell="A2" sqref="A2"/>
      <selection pane="bottomRight" activeCell="A2" sqref="A2"/>
    </sheetView>
  </sheetViews>
  <sheetFormatPr defaultColWidth="9.140625" defaultRowHeight="15" outlineLevelRow="2" x14ac:dyDescent="0.25"/>
  <cols>
    <col min="1" max="1" width="22.7109375" customWidth="1"/>
    <col min="2" max="2" width="80.7109375" customWidth="1"/>
    <col min="3" max="8" width="20.7109375" customWidth="1"/>
    <col min="9" max="9" width="20.7109375" style="1294" customWidth="1"/>
    <col min="10" max="11" width="20.7109375" customWidth="1"/>
  </cols>
  <sheetData>
    <row r="1" spans="1:12" s="345" customFormat="1" ht="30" customHeight="1" x14ac:dyDescent="0.25">
      <c r="B1" s="103" t="str">
        <f>IF(dms_MultiYear_ResponseFlag="Yes","REGULATORY REPORTING STATEMENT - HISTORICAL INFORMATION",INDEX(dms_Worksheet_List,MATCH(dms_Model,dms_Model_List)))</f>
        <v>REGULATORY REPORTING STATEMENT - HISTORICAL INFORMATION</v>
      </c>
      <c r="C1" s="76"/>
      <c r="D1" s="76"/>
      <c r="E1" s="76"/>
      <c r="F1" s="76"/>
      <c r="G1" s="76"/>
      <c r="H1" s="76"/>
      <c r="I1" s="76"/>
      <c r="J1" s="76"/>
      <c r="K1" s="76"/>
    </row>
    <row r="2" spans="1:12" s="345" customFormat="1" ht="30" customHeight="1" x14ac:dyDescent="0.25">
      <c r="B2" s="103" t="str">
        <f>INDEX(dms_TradingNameFull_List,MATCH(dms_TradingName,dms_TradingName_List))</f>
        <v>AusNet Gas Services</v>
      </c>
      <c r="C2" s="76"/>
      <c r="D2" s="76"/>
      <c r="E2" s="76"/>
      <c r="F2" s="76"/>
      <c r="G2" s="76"/>
      <c r="H2" s="76"/>
      <c r="I2" s="76"/>
      <c r="J2" s="76"/>
      <c r="K2" s="76"/>
    </row>
    <row r="3" spans="1:12" s="345" customFormat="1" ht="30" customHeight="1" x14ac:dyDescent="0.25">
      <c r="B3" s="103" t="str">
        <f>CONCATENATE(CRY," to ",dms_MultiYear_FinalYear_Result)</f>
        <v>2011 to 2019</v>
      </c>
      <c r="C3" s="76"/>
      <c r="D3" s="76"/>
      <c r="E3" s="76"/>
      <c r="F3" s="76"/>
      <c r="G3" s="76"/>
      <c r="H3" s="76"/>
      <c r="I3" s="76"/>
      <c r="J3" s="76"/>
      <c r="K3" s="76"/>
    </row>
    <row r="4" spans="1:12" s="345" customFormat="1" ht="30" customHeight="1" x14ac:dyDescent="0.25">
      <c r="B4" s="83" t="s">
        <v>663</v>
      </c>
      <c r="C4" s="323"/>
      <c r="D4" s="323"/>
      <c r="E4" s="323"/>
      <c r="F4" s="323"/>
      <c r="G4" s="323"/>
      <c r="H4" s="323"/>
      <c r="I4" s="323"/>
      <c r="J4" s="323"/>
      <c r="K4" s="323"/>
    </row>
    <row r="5" spans="1:12" ht="44.25" customHeight="1" thickBot="1" x14ac:dyDescent="0.3"/>
    <row r="6" spans="1:12" s="306" customFormat="1" ht="33.75" customHeight="1" thickBot="1" x14ac:dyDescent="0.3">
      <c r="A6"/>
      <c r="B6" s="84" t="s">
        <v>843</v>
      </c>
      <c r="C6" s="84"/>
      <c r="D6" s="84"/>
      <c r="E6" s="84"/>
      <c r="F6" s="84"/>
      <c r="G6" s="84"/>
      <c r="H6" s="84"/>
      <c r="I6" s="84"/>
      <c r="J6" s="84"/>
      <c r="K6" s="84"/>
      <c r="L6" s="345"/>
    </row>
    <row r="7" spans="1:12" s="306" customFormat="1" ht="28.5" customHeight="1" outlineLevel="1" thickBot="1" x14ac:dyDescent="0.3">
      <c r="A7" s="307"/>
      <c r="B7" s="308" t="s">
        <v>844</v>
      </c>
      <c r="C7" s="309"/>
      <c r="D7" s="309"/>
      <c r="E7" s="309"/>
      <c r="F7" s="309"/>
      <c r="G7" s="309"/>
      <c r="H7" s="309"/>
      <c r="I7" s="309"/>
      <c r="J7" s="309"/>
      <c r="K7" s="310"/>
      <c r="L7" s="345"/>
    </row>
    <row r="8" spans="1:12" s="345" customFormat="1" ht="15" customHeight="1" outlineLevel="2" x14ac:dyDescent="0.25">
      <c r="A8" s="314"/>
      <c r="B8" s="77"/>
      <c r="C8" s="1659" t="s">
        <v>637</v>
      </c>
      <c r="D8" s="1659"/>
      <c r="E8" s="1659"/>
      <c r="F8" s="1659"/>
      <c r="G8" s="1659"/>
      <c r="H8" s="1659"/>
      <c r="I8" s="1659"/>
      <c r="J8" s="1659"/>
      <c r="K8" s="1660"/>
    </row>
    <row r="9" spans="1:12" s="317" customFormat="1" ht="16.5" customHeight="1" outlineLevel="2" x14ac:dyDescent="0.25">
      <c r="A9" s="316"/>
      <c r="B9" s="77"/>
      <c r="C9" s="1661" t="s">
        <v>638</v>
      </c>
      <c r="D9" s="1661"/>
      <c r="E9" s="1661"/>
      <c r="F9" s="1661"/>
      <c r="G9" s="1661"/>
      <c r="H9" s="1661"/>
      <c r="I9" s="1661"/>
      <c r="J9" s="1661"/>
      <c r="K9" s="1662"/>
    </row>
    <row r="10" spans="1:12" s="345" customFormat="1" ht="18.75" customHeight="1" outlineLevel="2" thickBot="1" x14ac:dyDescent="0.3">
      <c r="A10" s="320"/>
      <c r="B10" s="359" t="s">
        <v>639</v>
      </c>
      <c r="C10" s="444">
        <f ca="1">dms_y1</f>
        <v>2011</v>
      </c>
      <c r="D10" s="445">
        <f ca="1">dms_y2</f>
        <v>2012</v>
      </c>
      <c r="E10" s="445">
        <f ca="1">dms_y3</f>
        <v>2013</v>
      </c>
      <c r="F10" s="445">
        <f ca="1">dms_y4</f>
        <v>2014</v>
      </c>
      <c r="G10" s="445">
        <f ca="1">dms_y5</f>
        <v>2015</v>
      </c>
      <c r="H10" s="1318">
        <f ca="1">dms_y6</f>
        <v>2016</v>
      </c>
      <c r="I10" s="1318">
        <f ca="1">dms_y7</f>
        <v>2017</v>
      </c>
      <c r="J10" s="1318">
        <f ca="1">dms_y8</f>
        <v>2018</v>
      </c>
      <c r="K10" s="1318">
        <f ca="1">dms_y9</f>
        <v>2019</v>
      </c>
    </row>
    <row r="11" spans="1:12" s="345" customFormat="1" outlineLevel="2" x14ac:dyDescent="0.25">
      <c r="B11" s="88" t="s">
        <v>1220</v>
      </c>
      <c r="C11" s="1487"/>
      <c r="D11" s="1441"/>
      <c r="E11" s="1441"/>
      <c r="F11" s="1441"/>
      <c r="G11" s="1488"/>
      <c r="H11" s="1440"/>
      <c r="I11" s="1440"/>
      <c r="J11" s="1441"/>
      <c r="K11" s="1489"/>
    </row>
    <row r="12" spans="1:12" s="1352" customFormat="1" outlineLevel="2" x14ac:dyDescent="0.25">
      <c r="B12" s="88" t="s">
        <v>1229</v>
      </c>
      <c r="C12" s="1490"/>
      <c r="D12" s="1427"/>
      <c r="E12" s="1427"/>
      <c r="F12" s="1427"/>
      <c r="G12" s="1491"/>
      <c r="H12" s="1428"/>
      <c r="I12" s="1428"/>
      <c r="J12" s="1427"/>
      <c r="K12" s="1492"/>
    </row>
    <row r="13" spans="1:12" s="345" customFormat="1" outlineLevel="2" x14ac:dyDescent="0.25">
      <c r="A13" s="320"/>
      <c r="B13" s="88" t="s">
        <v>1223</v>
      </c>
      <c r="C13" s="1490"/>
      <c r="D13" s="1427"/>
      <c r="E13" s="1427"/>
      <c r="F13" s="1427"/>
      <c r="G13" s="1491"/>
      <c r="H13" s="1428"/>
      <c r="I13" s="1428"/>
      <c r="J13" s="1427"/>
      <c r="K13" s="1492"/>
    </row>
    <row r="14" spans="1:12" s="345" customFormat="1" outlineLevel="2" x14ac:dyDescent="0.25">
      <c r="A14" s="320"/>
      <c r="B14" s="88" t="s">
        <v>1224</v>
      </c>
      <c r="C14" s="1490"/>
      <c r="D14" s="1427"/>
      <c r="E14" s="1427"/>
      <c r="F14" s="1427"/>
      <c r="G14" s="1491"/>
      <c r="H14" s="1428"/>
      <c r="I14" s="1428"/>
      <c r="J14" s="1427"/>
      <c r="K14" s="1492"/>
    </row>
    <row r="15" spans="1:12" s="345" customFormat="1" outlineLevel="2" x14ac:dyDescent="0.25">
      <c r="A15" s="320"/>
      <c r="B15" s="88" t="s">
        <v>1197</v>
      </c>
      <c r="C15" s="1490"/>
      <c r="D15" s="1427"/>
      <c r="E15" s="1427"/>
      <c r="F15" s="1427"/>
      <c r="G15" s="1491"/>
      <c r="H15" s="1428"/>
      <c r="I15" s="1428"/>
      <c r="J15" s="1427"/>
      <c r="K15" s="1492"/>
    </row>
    <row r="16" spans="1:12" s="345" customFormat="1" outlineLevel="2" x14ac:dyDescent="0.25">
      <c r="A16" s="320"/>
      <c r="B16" s="88" t="s">
        <v>1222</v>
      </c>
      <c r="C16" s="1490"/>
      <c r="D16" s="1427"/>
      <c r="E16" s="1427"/>
      <c r="F16" s="1427"/>
      <c r="G16" s="1491"/>
      <c r="H16" s="1428"/>
      <c r="I16" s="1428"/>
      <c r="J16" s="1427"/>
      <c r="K16" s="1492"/>
    </row>
    <row r="17" spans="1:12" s="345" customFormat="1" outlineLevel="2" x14ac:dyDescent="0.25">
      <c r="A17" s="320"/>
      <c r="B17" s="88" t="s">
        <v>1198</v>
      </c>
      <c r="C17" s="1490"/>
      <c r="D17" s="1490"/>
      <c r="E17" s="1427"/>
      <c r="F17" s="1427"/>
      <c r="G17" s="1491"/>
      <c r="H17" s="1428"/>
      <c r="I17" s="1428"/>
      <c r="J17" s="1427"/>
      <c r="K17" s="1492"/>
    </row>
    <row r="18" spans="1:12" s="345" customFormat="1" outlineLevel="2" x14ac:dyDescent="0.25">
      <c r="A18" s="320"/>
      <c r="B18" s="88" t="s">
        <v>1221</v>
      </c>
      <c r="C18" s="1490"/>
      <c r="D18" s="1427"/>
      <c r="E18" s="1490"/>
      <c r="F18" s="1427"/>
      <c r="G18" s="1493"/>
      <c r="H18" s="1494"/>
      <c r="I18" s="1494"/>
      <c r="J18" s="1490"/>
      <c r="K18" s="1492"/>
    </row>
    <row r="19" spans="1:12" s="521" customFormat="1" ht="15.75" outlineLevel="2" thickBot="1" x14ac:dyDescent="0.3">
      <c r="A19" s="518"/>
      <c r="B19" s="589" t="s">
        <v>640</v>
      </c>
      <c r="C19" s="1449">
        <f t="shared" ref="C19:K19" si="0">SUM(C11:C18)</f>
        <v>0</v>
      </c>
      <c r="D19" s="1449">
        <f t="shared" si="0"/>
        <v>0</v>
      </c>
      <c r="E19" s="1449">
        <f t="shared" si="0"/>
        <v>0</v>
      </c>
      <c r="F19" s="1449">
        <f t="shared" si="0"/>
        <v>0</v>
      </c>
      <c r="G19" s="1449">
        <f t="shared" si="0"/>
        <v>0</v>
      </c>
      <c r="H19" s="1449">
        <f t="shared" si="0"/>
        <v>0</v>
      </c>
      <c r="I19" s="1449">
        <f t="shared" si="0"/>
        <v>0</v>
      </c>
      <c r="J19" s="1449">
        <f t="shared" si="0"/>
        <v>0</v>
      </c>
      <c r="K19" s="1450">
        <f t="shared" si="0"/>
        <v>0</v>
      </c>
    </row>
    <row r="20" spans="1:12" s="345" customFormat="1" ht="12" customHeight="1" outlineLevel="1" thickBot="1" x14ac:dyDescent="0.3">
      <c r="A20" s="320"/>
      <c r="B20" s="321"/>
      <c r="C20" s="321"/>
      <c r="D20" s="321"/>
      <c r="E20" s="320"/>
      <c r="F20" s="320"/>
      <c r="G20" s="320"/>
      <c r="H20" s="320"/>
      <c r="I20" s="518"/>
      <c r="J20" s="320"/>
      <c r="K20" s="320"/>
    </row>
    <row r="21" spans="1:12" s="306" customFormat="1" ht="24.75" customHeight="1" outlineLevel="1" thickBot="1" x14ac:dyDescent="0.3">
      <c r="A21" s="307"/>
      <c r="B21" s="308" t="s">
        <v>845</v>
      </c>
      <c r="C21" s="309"/>
      <c r="D21" s="309"/>
      <c r="E21" s="309"/>
      <c r="F21" s="309"/>
      <c r="G21" s="309"/>
      <c r="H21" s="309"/>
      <c r="I21" s="309"/>
      <c r="J21" s="309"/>
      <c r="K21" s="310"/>
      <c r="L21" s="345"/>
    </row>
    <row r="22" spans="1:12" s="345" customFormat="1" ht="15" customHeight="1" outlineLevel="2" x14ac:dyDescent="0.25">
      <c r="A22" s="314"/>
      <c r="B22" s="77"/>
      <c r="C22" s="1659" t="s">
        <v>637</v>
      </c>
      <c r="D22" s="1659"/>
      <c r="E22" s="1659"/>
      <c r="F22" s="1659"/>
      <c r="G22" s="1659"/>
      <c r="H22" s="1659"/>
      <c r="I22" s="1659"/>
      <c r="J22" s="1659"/>
      <c r="K22" s="1660"/>
    </row>
    <row r="23" spans="1:12" s="317" customFormat="1" ht="16.5" customHeight="1" outlineLevel="2" x14ac:dyDescent="0.25">
      <c r="A23" s="316"/>
      <c r="B23" s="77"/>
      <c r="C23" s="1661" t="s">
        <v>638</v>
      </c>
      <c r="D23" s="1661"/>
      <c r="E23" s="1661"/>
      <c r="F23" s="1661"/>
      <c r="G23" s="1661"/>
      <c r="H23" s="1661"/>
      <c r="I23" s="1661"/>
      <c r="J23" s="1661"/>
      <c r="K23" s="1662"/>
    </row>
    <row r="24" spans="1:12" s="345" customFormat="1" ht="18.75" customHeight="1" outlineLevel="2" thickBot="1" x14ac:dyDescent="0.3">
      <c r="A24" s="320"/>
      <c r="B24" s="359" t="s">
        <v>639</v>
      </c>
      <c r="C24" s="444">
        <f ca="1">dms_y1</f>
        <v>2011</v>
      </c>
      <c r="D24" s="445">
        <f ca="1">dms_y2</f>
        <v>2012</v>
      </c>
      <c r="E24" s="445">
        <f ca="1">dms_y3</f>
        <v>2013</v>
      </c>
      <c r="F24" s="445">
        <f ca="1">dms_y4</f>
        <v>2014</v>
      </c>
      <c r="G24" s="445">
        <f ca="1">dms_y5</f>
        <v>2015</v>
      </c>
      <c r="H24" s="1318">
        <f ca="1">dms_y6</f>
        <v>2016</v>
      </c>
      <c r="I24" s="1318">
        <f ca="1">dms_y7</f>
        <v>2017</v>
      </c>
      <c r="J24" s="1318">
        <f ca="1">dms_y8</f>
        <v>2018</v>
      </c>
      <c r="K24" s="1318">
        <f ca="1">dms_y9</f>
        <v>2019</v>
      </c>
    </row>
    <row r="25" spans="1:12" s="345" customFormat="1" outlineLevel="2" x14ac:dyDescent="0.25">
      <c r="A25" s="320"/>
      <c r="B25" s="88" t="s">
        <v>1220</v>
      </c>
      <c r="C25" s="1487"/>
      <c r="D25" s="1441"/>
      <c r="E25" s="1441"/>
      <c r="F25" s="1441"/>
      <c r="G25" s="1488"/>
      <c r="H25" s="1440"/>
      <c r="I25" s="1440"/>
      <c r="J25" s="1441"/>
      <c r="K25" s="1442"/>
    </row>
    <row r="26" spans="1:12" s="1352" customFormat="1" outlineLevel="2" x14ac:dyDescent="0.25">
      <c r="A26" s="518"/>
      <c r="B26" s="88" t="s">
        <v>1229</v>
      </c>
      <c r="C26" s="1495"/>
      <c r="D26" s="1427"/>
      <c r="E26" s="1427"/>
      <c r="F26" s="1427"/>
      <c r="G26" s="1491"/>
      <c r="H26" s="1428"/>
      <c r="I26" s="1428"/>
      <c r="J26" s="1427"/>
      <c r="K26" s="1443"/>
    </row>
    <row r="27" spans="1:12" s="345" customFormat="1" outlineLevel="2" x14ac:dyDescent="0.25">
      <c r="A27" s="320"/>
      <c r="B27" s="88" t="s">
        <v>1223</v>
      </c>
      <c r="C27" s="1495"/>
      <c r="D27" s="1427"/>
      <c r="E27" s="1427"/>
      <c r="F27" s="1427"/>
      <c r="G27" s="1491"/>
      <c r="H27" s="1428"/>
      <c r="I27" s="1428"/>
      <c r="J27" s="1427"/>
      <c r="K27" s="1443"/>
    </row>
    <row r="28" spans="1:12" s="345" customFormat="1" outlineLevel="2" x14ac:dyDescent="0.25">
      <c r="A28" s="320"/>
      <c r="B28" s="88" t="s">
        <v>1224</v>
      </c>
      <c r="C28" s="1495"/>
      <c r="D28" s="1427"/>
      <c r="E28" s="1427"/>
      <c r="F28" s="1427"/>
      <c r="G28" s="1491"/>
      <c r="H28" s="1428"/>
      <c r="I28" s="1428"/>
      <c r="J28" s="1427"/>
      <c r="K28" s="1443"/>
    </row>
    <row r="29" spans="1:12" s="345" customFormat="1" outlineLevel="2" x14ac:dyDescent="0.25">
      <c r="A29" s="320"/>
      <c r="B29" s="88" t="s">
        <v>1197</v>
      </c>
      <c r="C29" s="1495"/>
      <c r="D29" s="1427"/>
      <c r="E29" s="1427"/>
      <c r="F29" s="1427"/>
      <c r="G29" s="1491"/>
      <c r="H29" s="1428"/>
      <c r="I29" s="1428"/>
      <c r="J29" s="1427"/>
      <c r="K29" s="1492"/>
    </row>
    <row r="30" spans="1:12" s="345" customFormat="1" outlineLevel="2" x14ac:dyDescent="0.25">
      <c r="A30" s="320"/>
      <c r="B30" s="88" t="s">
        <v>1222</v>
      </c>
      <c r="C30" s="1495"/>
      <c r="D30" s="1427"/>
      <c r="E30" s="1427"/>
      <c r="F30" s="1427"/>
      <c r="G30" s="1491"/>
      <c r="H30" s="1428"/>
      <c r="I30" s="1428"/>
      <c r="J30" s="1427"/>
      <c r="K30" s="1443"/>
    </row>
    <row r="31" spans="1:12" s="345" customFormat="1" outlineLevel="2" x14ac:dyDescent="0.25">
      <c r="A31" s="320"/>
      <c r="B31" s="88" t="s">
        <v>1198</v>
      </c>
      <c r="C31" s="1495"/>
      <c r="D31" s="1427"/>
      <c r="E31" s="1427"/>
      <c r="F31" s="1427"/>
      <c r="G31" s="1491"/>
      <c r="H31" s="1428"/>
      <c r="I31" s="1428"/>
      <c r="J31" s="1427"/>
      <c r="K31" s="1443"/>
    </row>
    <row r="32" spans="1:12" s="345" customFormat="1" outlineLevel="2" x14ac:dyDescent="0.25">
      <c r="A32" s="320"/>
      <c r="B32" s="88" t="s">
        <v>1221</v>
      </c>
      <c r="C32" s="1490"/>
      <c r="D32" s="1427"/>
      <c r="E32" s="1490"/>
      <c r="F32" s="1427"/>
      <c r="G32" s="1493"/>
      <c r="H32" s="1428"/>
      <c r="I32" s="1428"/>
      <c r="J32" s="1490"/>
      <c r="K32" s="1443"/>
    </row>
    <row r="33" spans="1:12" s="521" customFormat="1" ht="15.75" outlineLevel="2" thickBot="1" x14ac:dyDescent="0.3">
      <c r="A33" s="518"/>
      <c r="B33" s="589" t="s">
        <v>640</v>
      </c>
      <c r="C33" s="1449">
        <f t="shared" ref="C33:K33" si="1">SUM(C25:C32)</f>
        <v>0</v>
      </c>
      <c r="D33" s="1449">
        <f t="shared" si="1"/>
        <v>0</v>
      </c>
      <c r="E33" s="1449">
        <f t="shared" si="1"/>
        <v>0</v>
      </c>
      <c r="F33" s="1449">
        <f t="shared" si="1"/>
        <v>0</v>
      </c>
      <c r="G33" s="1449">
        <f t="shared" si="1"/>
        <v>0</v>
      </c>
      <c r="H33" s="1449">
        <f t="shared" si="1"/>
        <v>0</v>
      </c>
      <c r="I33" s="1449">
        <f t="shared" si="1"/>
        <v>0</v>
      </c>
      <c r="J33" s="1449">
        <f t="shared" si="1"/>
        <v>0</v>
      </c>
      <c r="K33" s="1450">
        <f t="shared" si="1"/>
        <v>0</v>
      </c>
    </row>
    <row r="34" spans="1:12" s="345" customFormat="1" ht="12" customHeight="1" outlineLevel="1" thickBot="1" x14ac:dyDescent="0.3">
      <c r="A34" s="320"/>
      <c r="B34" s="321"/>
      <c r="C34" s="321"/>
      <c r="D34" s="321"/>
      <c r="E34" s="320"/>
      <c r="F34" s="320"/>
      <c r="G34" s="320"/>
      <c r="H34" s="320"/>
      <c r="I34" s="518"/>
      <c r="J34" s="320"/>
      <c r="K34" s="320"/>
    </row>
    <row r="35" spans="1:12" s="306" customFormat="1" ht="24.75" customHeight="1" outlineLevel="1" thickBot="1" x14ac:dyDescent="0.3">
      <c r="A35" s="307"/>
      <c r="B35" s="308" t="s">
        <v>846</v>
      </c>
      <c r="C35" s="309"/>
      <c r="D35" s="309"/>
      <c r="E35" s="309"/>
      <c r="F35" s="309"/>
      <c r="G35" s="309"/>
      <c r="H35" s="309"/>
      <c r="I35" s="309"/>
      <c r="J35" s="309"/>
      <c r="K35" s="310"/>
      <c r="L35" s="345"/>
    </row>
    <row r="36" spans="1:12" s="345" customFormat="1" ht="15" customHeight="1" outlineLevel="2" x14ac:dyDescent="0.25">
      <c r="A36" s="314"/>
      <c r="B36" s="77"/>
      <c r="C36" s="1659" t="s">
        <v>637</v>
      </c>
      <c r="D36" s="1659"/>
      <c r="E36" s="1659"/>
      <c r="F36" s="1659"/>
      <c r="G36" s="1659"/>
      <c r="H36" s="1659"/>
      <c r="I36" s="1659"/>
      <c r="J36" s="1659"/>
      <c r="K36" s="1660"/>
    </row>
    <row r="37" spans="1:12" s="317" customFormat="1" ht="16.5" customHeight="1" outlineLevel="2" x14ac:dyDescent="0.25">
      <c r="A37" s="316"/>
      <c r="B37" s="77"/>
      <c r="C37" s="1661" t="s">
        <v>638</v>
      </c>
      <c r="D37" s="1661"/>
      <c r="E37" s="1661"/>
      <c r="F37" s="1661"/>
      <c r="G37" s="1661"/>
      <c r="H37" s="1661"/>
      <c r="I37" s="1661"/>
      <c r="J37" s="1661"/>
      <c r="K37" s="1662"/>
    </row>
    <row r="38" spans="1:12" s="345" customFormat="1" ht="18.75" customHeight="1" outlineLevel="2" thickBot="1" x14ac:dyDescent="0.3">
      <c r="A38" s="320"/>
      <c r="B38" s="359" t="s">
        <v>639</v>
      </c>
      <c r="C38" s="444">
        <f ca="1">dms_y1</f>
        <v>2011</v>
      </c>
      <c r="D38" s="445">
        <f ca="1">dms_y2</f>
        <v>2012</v>
      </c>
      <c r="E38" s="445">
        <f ca="1">dms_y3</f>
        <v>2013</v>
      </c>
      <c r="F38" s="445">
        <f ca="1">dms_y4</f>
        <v>2014</v>
      </c>
      <c r="G38" s="445">
        <f ca="1">dms_y5</f>
        <v>2015</v>
      </c>
      <c r="H38" s="1318">
        <f ca="1">dms_y6</f>
        <v>2016</v>
      </c>
      <c r="I38" s="1318">
        <f ca="1">dms_y7</f>
        <v>2017</v>
      </c>
      <c r="J38" s="1318">
        <f ca="1">dms_y8</f>
        <v>2018</v>
      </c>
      <c r="K38" s="1318">
        <f ca="1">dms_y9</f>
        <v>2019</v>
      </c>
    </row>
    <row r="39" spans="1:12" s="345" customFormat="1" outlineLevel="2" x14ac:dyDescent="0.25">
      <c r="A39" s="320"/>
      <c r="B39" s="88" t="s">
        <v>1220</v>
      </c>
      <c r="C39" s="1392">
        <v>14143411.629720062</v>
      </c>
      <c r="D39" s="1392">
        <v>16738689.749999985</v>
      </c>
      <c r="E39" s="361">
        <v>12645080.5</v>
      </c>
      <c r="F39" s="1392">
        <v>12588151.089999989</v>
      </c>
      <c r="G39" s="362">
        <v>14735143.580000013</v>
      </c>
      <c r="H39" s="1410">
        <v>17084820.899999999</v>
      </c>
      <c r="I39" s="1410">
        <v>17187383.110000003</v>
      </c>
      <c r="J39" s="1410">
        <v>16851410.620000001</v>
      </c>
      <c r="K39" s="364">
        <v>18415292.829999991</v>
      </c>
    </row>
    <row r="40" spans="1:12" s="1352" customFormat="1" outlineLevel="2" x14ac:dyDescent="0.25">
      <c r="A40" s="518"/>
      <c r="B40" s="88" t="s">
        <v>1229</v>
      </c>
      <c r="C40" s="1393">
        <v>320090.50396854256</v>
      </c>
      <c r="D40" s="1393">
        <v>60653.222356561077</v>
      </c>
      <c r="E40" s="366">
        <v>128212.3105910052</v>
      </c>
      <c r="F40" s="1393">
        <v>115666.3473895007</v>
      </c>
      <c r="G40" s="367">
        <v>155142.83968909993</v>
      </c>
      <c r="H40" s="1395">
        <v>94764.332599999994</v>
      </c>
      <c r="I40" s="1395">
        <v>244277.37</v>
      </c>
      <c r="J40" s="1395">
        <v>565041.12</v>
      </c>
      <c r="K40" s="369">
        <v>434409.99</v>
      </c>
    </row>
    <row r="41" spans="1:12" s="345" customFormat="1" outlineLevel="2" x14ac:dyDescent="0.25">
      <c r="A41" s="320"/>
      <c r="B41" s="88" t="s">
        <v>1223</v>
      </c>
      <c r="C41" s="1393">
        <v>0</v>
      </c>
      <c r="D41" s="1393">
        <v>0</v>
      </c>
      <c r="E41" s="366">
        <v>0</v>
      </c>
      <c r="F41" s="1393">
        <v>0</v>
      </c>
      <c r="G41" s="1394">
        <v>0</v>
      </c>
      <c r="H41" s="1395">
        <v>0</v>
      </c>
      <c r="I41" s="1395">
        <v>0</v>
      </c>
      <c r="J41" s="1395">
        <v>0</v>
      </c>
      <c r="K41" s="369">
        <v>0</v>
      </c>
    </row>
    <row r="42" spans="1:12" s="345" customFormat="1" outlineLevel="2" x14ac:dyDescent="0.25">
      <c r="A42" s="320"/>
      <c r="B42" s="88" t="s">
        <v>1224</v>
      </c>
      <c r="C42" s="1393">
        <v>0</v>
      </c>
      <c r="D42" s="1393">
        <v>0</v>
      </c>
      <c r="E42" s="366">
        <v>0</v>
      </c>
      <c r="F42" s="1393">
        <v>0</v>
      </c>
      <c r="G42" s="1394">
        <v>0</v>
      </c>
      <c r="H42" s="1395">
        <v>0</v>
      </c>
      <c r="I42" s="1395">
        <v>0</v>
      </c>
      <c r="J42" s="1395">
        <v>0</v>
      </c>
      <c r="K42" s="369">
        <v>0</v>
      </c>
    </row>
    <row r="43" spans="1:12" s="345" customFormat="1" outlineLevel="2" x14ac:dyDescent="0.25">
      <c r="A43" s="320"/>
      <c r="B43" s="88" t="s">
        <v>1197</v>
      </c>
      <c r="C43" s="1393">
        <v>828036.01</v>
      </c>
      <c r="D43" s="1393">
        <v>432191.42000000004</v>
      </c>
      <c r="E43" s="1393">
        <v>-1618057.1500000001</v>
      </c>
      <c r="F43" s="1393">
        <v>-814375.99999999988</v>
      </c>
      <c r="G43" s="1394">
        <v>-1650836.9899999998</v>
      </c>
      <c r="H43" s="1395">
        <v>-1799147</v>
      </c>
      <c r="I43" s="1395">
        <v>113898</v>
      </c>
      <c r="J43" s="1395">
        <v>0.79999999998835847</v>
      </c>
      <c r="K43" s="369">
        <v>2206947</v>
      </c>
    </row>
    <row r="44" spans="1:12" s="345" customFormat="1" outlineLevel="2" x14ac:dyDescent="0.25">
      <c r="A44" s="320"/>
      <c r="B44" s="88" t="s">
        <v>1222</v>
      </c>
      <c r="C44" s="1393">
        <v>0</v>
      </c>
      <c r="D44" s="1393">
        <v>0</v>
      </c>
      <c r="E44" s="366">
        <v>0</v>
      </c>
      <c r="F44" s="1393">
        <v>0</v>
      </c>
      <c r="G44" s="1394">
        <v>0</v>
      </c>
      <c r="H44" s="1395">
        <v>0</v>
      </c>
      <c r="I44" s="1395">
        <v>0</v>
      </c>
      <c r="J44" s="1395">
        <v>0</v>
      </c>
      <c r="K44" s="369">
        <v>0</v>
      </c>
    </row>
    <row r="45" spans="1:12" s="345" customFormat="1" outlineLevel="2" x14ac:dyDescent="0.25">
      <c r="A45" s="320"/>
      <c r="B45" s="88" t="s">
        <v>1198</v>
      </c>
      <c r="C45" s="1393">
        <v>17330</v>
      </c>
      <c r="D45" s="1393">
        <v>-17240</v>
      </c>
      <c r="E45" s="366">
        <v>50756.75</v>
      </c>
      <c r="F45" s="1393">
        <v>20081.778685503639</v>
      </c>
      <c r="G45" s="1394">
        <v>5697.635605729185</v>
      </c>
      <c r="H45" s="1395">
        <v>2900</v>
      </c>
      <c r="I45" s="1395">
        <v>6620</v>
      </c>
      <c r="J45" s="1395">
        <v>12690</v>
      </c>
      <c r="K45" s="369">
        <v>59540</v>
      </c>
    </row>
    <row r="46" spans="1:12" s="345" customFormat="1" outlineLevel="2" x14ac:dyDescent="0.25">
      <c r="A46" s="320"/>
      <c r="B46" s="88" t="s">
        <v>1221</v>
      </c>
      <c r="C46" s="1393">
        <v>27901494.195100367</v>
      </c>
      <c r="D46" s="1393">
        <v>35010238.096907198</v>
      </c>
      <c r="E46" s="366">
        <v>43353388.867105961</v>
      </c>
      <c r="F46" s="1393">
        <v>38156137.496183872</v>
      </c>
      <c r="G46" s="1394">
        <v>37754564.088029444</v>
      </c>
      <c r="H46" s="1393">
        <v>35659629.720822699</v>
      </c>
      <c r="I46" s="1393">
        <v>39012595.467055909</v>
      </c>
      <c r="J46" s="1393">
        <v>39032059.510583997</v>
      </c>
      <c r="K46" s="1398">
        <v>35926985.719999999</v>
      </c>
    </row>
    <row r="47" spans="1:12" s="521" customFormat="1" ht="15.75" outlineLevel="2" thickBot="1" x14ac:dyDescent="0.3">
      <c r="A47" s="518"/>
      <c r="B47" s="589" t="s">
        <v>640</v>
      </c>
      <c r="C47" s="590">
        <f t="shared" ref="C47:K47" si="2">SUM(C39:C46)</f>
        <v>43210362.338788971</v>
      </c>
      <c r="D47" s="590">
        <f t="shared" si="2"/>
        <v>52224532.489263743</v>
      </c>
      <c r="E47" s="590">
        <f t="shared" si="2"/>
        <v>54559381.277696967</v>
      </c>
      <c r="F47" s="590">
        <f t="shared" si="2"/>
        <v>50065660.71225886</v>
      </c>
      <c r="G47" s="590">
        <f t="shared" si="2"/>
        <v>50999711.153324291</v>
      </c>
      <c r="H47" s="590">
        <f t="shared" si="2"/>
        <v>51042967.953422695</v>
      </c>
      <c r="I47" s="590">
        <f t="shared" si="2"/>
        <v>56564773.947055914</v>
      </c>
      <c r="J47" s="590">
        <f t="shared" si="2"/>
        <v>56461202.050584003</v>
      </c>
      <c r="K47" s="458">
        <f t="shared" si="2"/>
        <v>57043175.539999992</v>
      </c>
    </row>
    <row r="48" spans="1:12" s="345" customFormat="1" ht="12" customHeight="1" outlineLevel="1" x14ac:dyDescent="0.25">
      <c r="A48" s="320"/>
      <c r="B48" s="321"/>
      <c r="C48" s="321"/>
      <c r="D48" s="321"/>
      <c r="E48" s="320"/>
      <c r="F48" s="320"/>
      <c r="G48" s="320"/>
      <c r="H48" s="320"/>
      <c r="I48" s="518"/>
      <c r="J48" s="320"/>
      <c r="K48" s="320"/>
    </row>
    <row r="49" spans="1:11" s="345" customFormat="1" x14ac:dyDescent="0.25">
      <c r="A49" s="320"/>
      <c r="E49" s="320"/>
      <c r="F49" s="320"/>
      <c r="G49" s="320"/>
      <c r="H49" s="320"/>
      <c r="I49" s="518"/>
      <c r="J49" s="320"/>
      <c r="K49" s="320"/>
    </row>
  </sheetData>
  <mergeCells count="6">
    <mergeCell ref="C37:K37"/>
    <mergeCell ref="C36:K36"/>
    <mergeCell ref="C8:K8"/>
    <mergeCell ref="C9:K9"/>
    <mergeCell ref="C22:K22"/>
    <mergeCell ref="C23:K23"/>
  </mergeCells>
  <pageMargins left="0.7" right="0.7" top="0.75" bottom="0.75" header="0.3" footer="0.3"/>
  <pageSetup paperSize="9" orientation="portrait" r:id="rId1"/>
  <customProperties>
    <customPr name="_pios_id" r:id="rId2"/>
    <customPr name="EpmWorksheetKeyString_GUID" r:id="rId3"/>
  </customProperties>
  <drawing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59999389629810485"/>
  </sheetPr>
  <dimension ref="A1:Q100"/>
  <sheetViews>
    <sheetView showGridLines="0" zoomScale="60" zoomScaleNormal="60" workbookViewId="0">
      <selection activeCell="A2" sqref="A2"/>
    </sheetView>
  </sheetViews>
  <sheetFormatPr defaultColWidth="9.140625" defaultRowHeight="15" outlineLevelRow="2" x14ac:dyDescent="0.25"/>
  <cols>
    <col min="1" max="1" width="24.28515625" style="345" customWidth="1"/>
    <col min="2" max="2" width="80.85546875" style="345" customWidth="1"/>
    <col min="3" max="8" width="20.7109375" style="345" customWidth="1"/>
    <col min="9" max="9" width="20.7109375" style="1294" customWidth="1"/>
    <col min="10" max="11" width="20.7109375" style="345" customWidth="1"/>
    <col min="12" max="12" width="41" style="345" customWidth="1"/>
    <col min="13" max="13" width="49.140625" style="345" customWidth="1"/>
    <col min="14" max="15" width="41" style="345" customWidth="1"/>
    <col min="16" max="16" width="45.5703125" style="345" customWidth="1"/>
    <col min="17" max="16384" width="9.140625" style="345"/>
  </cols>
  <sheetData>
    <row r="1" spans="1:16" ht="30" customHeight="1" x14ac:dyDescent="0.25">
      <c r="B1" s="103" t="str">
        <f>IF(dms_MultiYear_ResponseFlag="Yes","REGULATORY REPORTING STATEMENT - HISTORICAL INFORMATION",INDEX(dms_Worksheet_List,MATCH(dms_Model,dms_Model_List)))</f>
        <v>REGULATORY REPORTING STATEMENT - HISTORICAL INFORMATION</v>
      </c>
      <c r="C1" s="76"/>
      <c r="D1" s="76"/>
      <c r="E1" s="76"/>
      <c r="F1" s="76"/>
      <c r="G1" s="76"/>
      <c r="H1" s="76"/>
      <c r="I1" s="76"/>
      <c r="J1" s="76"/>
      <c r="K1" s="76"/>
      <c r="L1" s="76"/>
      <c r="M1" s="76"/>
      <c r="N1" s="76"/>
      <c r="O1" s="76"/>
      <c r="P1" s="76"/>
    </row>
    <row r="2" spans="1:16" ht="30" customHeight="1" x14ac:dyDescent="0.25">
      <c r="B2" s="103" t="str">
        <f>INDEX(dms_TradingNameFull_List,MATCH(dms_TradingName,dms_TradingName_List))</f>
        <v>AusNet Gas Services</v>
      </c>
      <c r="C2" s="76"/>
      <c r="D2" s="76"/>
      <c r="E2" s="76"/>
      <c r="F2" s="76"/>
      <c r="G2" s="76"/>
      <c r="H2" s="76"/>
      <c r="I2" s="76"/>
      <c r="J2" s="76"/>
      <c r="K2" s="76"/>
      <c r="L2" s="76"/>
      <c r="M2" s="76"/>
      <c r="N2" s="76"/>
      <c r="O2" s="76"/>
      <c r="P2" s="76"/>
    </row>
    <row r="3" spans="1:16" ht="30" customHeight="1" x14ac:dyDescent="0.25">
      <c r="B3" s="103" t="str">
        <f>CONCATENATE(CRY," to ",dms_MultiYear_FinalYear_Result)</f>
        <v>2011 to 2019</v>
      </c>
      <c r="C3" s="76"/>
      <c r="D3" s="76"/>
      <c r="E3" s="76"/>
      <c r="F3" s="76"/>
      <c r="G3" s="76"/>
      <c r="H3" s="76"/>
      <c r="I3" s="76"/>
      <c r="J3" s="76"/>
      <c r="K3" s="76"/>
      <c r="L3" s="76"/>
      <c r="M3" s="76"/>
      <c r="N3" s="76"/>
      <c r="O3" s="76"/>
      <c r="P3" s="76"/>
    </row>
    <row r="4" spans="1:16" ht="30" customHeight="1" x14ac:dyDescent="0.25">
      <c r="B4" s="83" t="s">
        <v>676</v>
      </c>
      <c r="C4" s="323"/>
      <c r="D4" s="323"/>
      <c r="E4" s="323"/>
      <c r="F4" s="323"/>
      <c r="G4" s="323"/>
      <c r="H4" s="323"/>
      <c r="I4" s="323"/>
      <c r="J4" s="323"/>
      <c r="K4" s="323"/>
      <c r="L4" s="323"/>
      <c r="M4" s="323"/>
      <c r="N4" s="323"/>
      <c r="O4" s="323"/>
      <c r="P4" s="323"/>
    </row>
    <row r="5" spans="1:16" ht="29.25" customHeight="1" thickBot="1" x14ac:dyDescent="0.3"/>
    <row r="6" spans="1:16" s="306" customFormat="1" ht="30" customHeight="1" thickBot="1" x14ac:dyDescent="0.25">
      <c r="A6" s="307"/>
      <c r="B6" s="84" t="str">
        <f>CONCATENATE("F6.1 - ", dms_TradingName, " PAYMENTS GREATER THAN $1,000,000 MADE TO RELATED PARTY")</f>
        <v>F6.1 - AusNet (Gas) PAYMENTS GREATER THAN $1,000,000 MADE TO RELATED PARTY</v>
      </c>
      <c r="C6" s="84"/>
      <c r="D6" s="84"/>
      <c r="E6" s="84"/>
      <c r="F6" s="84"/>
      <c r="G6" s="84"/>
      <c r="H6" s="84"/>
      <c r="I6" s="84"/>
      <c r="J6" s="84"/>
      <c r="K6" s="84"/>
      <c r="L6" s="84"/>
      <c r="M6" s="84"/>
      <c r="N6" s="84"/>
      <c r="O6" s="84"/>
      <c r="P6" s="84"/>
    </row>
    <row r="7" spans="1:16" s="375" customFormat="1" ht="41.25" customHeight="1" outlineLevel="1" thickBot="1" x14ac:dyDescent="0.3">
      <c r="A7" s="374"/>
      <c r="B7" s="315"/>
      <c r="C7" s="1695" t="s">
        <v>638</v>
      </c>
      <c r="D7" s="1695"/>
      <c r="E7" s="1695"/>
      <c r="F7" s="1695"/>
      <c r="G7" s="1695"/>
      <c r="H7" s="1695"/>
      <c r="I7" s="1695"/>
      <c r="J7" s="1695"/>
      <c r="K7" s="1696"/>
      <c r="L7" s="1697" t="s">
        <v>664</v>
      </c>
      <c r="M7" s="1698" t="s">
        <v>665</v>
      </c>
      <c r="N7" s="1699" t="s">
        <v>666</v>
      </c>
      <c r="O7" s="1699" t="s">
        <v>667</v>
      </c>
      <c r="P7" s="1701" t="s">
        <v>668</v>
      </c>
    </row>
    <row r="8" spans="1:16" s="375" customFormat="1" ht="22.5" customHeight="1" outlineLevel="1" thickBot="1" x14ac:dyDescent="0.25">
      <c r="A8" s="374"/>
      <c r="B8" s="645" t="s">
        <v>669</v>
      </c>
      <c r="C8" s="444">
        <f ca="1">dms_y1</f>
        <v>2011</v>
      </c>
      <c r="D8" s="445">
        <f ca="1">dms_y2</f>
        <v>2012</v>
      </c>
      <c r="E8" s="445">
        <f ca="1">dms_y3</f>
        <v>2013</v>
      </c>
      <c r="F8" s="445">
        <f ca="1">dms_y4</f>
        <v>2014</v>
      </c>
      <c r="G8" s="445">
        <f ca="1">dms_y5</f>
        <v>2015</v>
      </c>
      <c r="H8" s="1318">
        <f ca="1">dms_y6</f>
        <v>2016</v>
      </c>
      <c r="I8" s="1318">
        <f ca="1">dms_y7</f>
        <v>2017</v>
      </c>
      <c r="J8" s="1318">
        <f ca="1">dms_y8</f>
        <v>2018</v>
      </c>
      <c r="K8" s="1318">
        <f ca="1">dms_y9</f>
        <v>2019</v>
      </c>
      <c r="L8" s="1697"/>
      <c r="M8" s="1698"/>
      <c r="N8" s="1700"/>
      <c r="O8" s="1699"/>
      <c r="P8" s="1701"/>
    </row>
    <row r="9" spans="1:16" s="306" customFormat="1" ht="24.75" customHeight="1" outlineLevel="1" thickBot="1" x14ac:dyDescent="0.25">
      <c r="A9" s="307"/>
      <c r="B9" s="308" t="s">
        <v>847</v>
      </c>
      <c r="C9" s="309"/>
      <c r="D9" s="309"/>
      <c r="E9" s="309"/>
      <c r="F9" s="309"/>
      <c r="G9" s="309"/>
      <c r="H9" s="309"/>
      <c r="I9" s="309"/>
      <c r="J9" s="309"/>
      <c r="K9" s="309"/>
      <c r="L9" s="309"/>
      <c r="M9" s="309"/>
      <c r="N9" s="309"/>
      <c r="O9" s="309"/>
      <c r="P9" s="310"/>
    </row>
    <row r="10" spans="1:16" s="375" customFormat="1" ht="64.5" outlineLevel="2" x14ac:dyDescent="0.25">
      <c r="A10" s="374"/>
      <c r="B10" s="646" t="s">
        <v>1327</v>
      </c>
      <c r="C10" s="1426"/>
      <c r="D10" s="1427"/>
      <c r="E10" s="1427"/>
      <c r="F10" s="1428"/>
      <c r="G10" s="1427"/>
      <c r="H10" s="1427"/>
      <c r="I10" s="1427"/>
      <c r="J10" s="1427"/>
      <c r="K10" s="1429"/>
      <c r="L10" s="647" t="s">
        <v>1354</v>
      </c>
      <c r="M10" s="648" t="s">
        <v>1335</v>
      </c>
      <c r="N10" s="648" t="s">
        <v>1333</v>
      </c>
      <c r="O10" s="648" t="s">
        <v>1334</v>
      </c>
      <c r="P10" s="1469"/>
    </row>
    <row r="11" spans="1:16" s="375" customFormat="1" ht="39" outlineLevel="2" x14ac:dyDescent="0.25">
      <c r="A11" s="374"/>
      <c r="B11" s="386" t="s">
        <v>1328</v>
      </c>
      <c r="C11" s="1426"/>
      <c r="D11" s="1427"/>
      <c r="E11" s="1427"/>
      <c r="F11" s="1428"/>
      <c r="G11" s="1427"/>
      <c r="H11" s="1427"/>
      <c r="I11" s="1427"/>
      <c r="J11" s="1427"/>
      <c r="K11" s="1430"/>
      <c r="L11" s="429" t="s">
        <v>1354</v>
      </c>
      <c r="M11" s="606" t="s">
        <v>1336</v>
      </c>
      <c r="N11" s="606" t="s">
        <v>1338</v>
      </c>
      <c r="O11" s="606" t="s">
        <v>1340</v>
      </c>
      <c r="P11" s="609" t="s">
        <v>1341</v>
      </c>
    </row>
    <row r="12" spans="1:16" s="375" customFormat="1" outlineLevel="2" x14ac:dyDescent="0.25">
      <c r="A12" s="374"/>
      <c r="B12" s="386" t="s">
        <v>1329</v>
      </c>
      <c r="C12" s="1426"/>
      <c r="D12" s="1427"/>
      <c r="E12" s="1427"/>
      <c r="F12" s="1428"/>
      <c r="G12" s="1427"/>
      <c r="H12" s="1427"/>
      <c r="I12" s="1427"/>
      <c r="J12" s="1427"/>
      <c r="K12" s="1430"/>
      <c r="L12" s="429" t="s">
        <v>1354</v>
      </c>
      <c r="M12" s="606" t="s">
        <v>1337</v>
      </c>
      <c r="N12" s="606" t="s">
        <v>1338</v>
      </c>
      <c r="O12" s="606" t="s">
        <v>1339</v>
      </c>
      <c r="P12" s="609" t="s">
        <v>1342</v>
      </c>
    </row>
    <row r="13" spans="1:16" s="375" customFormat="1" outlineLevel="2" x14ac:dyDescent="0.25">
      <c r="A13" s="374"/>
      <c r="B13" s="386" t="s">
        <v>1331</v>
      </c>
      <c r="C13" s="1431"/>
      <c r="D13" s="1432"/>
      <c r="E13" s="1432"/>
      <c r="F13" s="1433"/>
      <c r="G13" s="1432"/>
      <c r="H13" s="1432"/>
      <c r="I13" s="1432"/>
      <c r="J13" s="1432"/>
      <c r="K13" s="1430"/>
      <c r="L13" s="429" t="s">
        <v>1355</v>
      </c>
      <c r="M13" s="606" t="s">
        <v>1337</v>
      </c>
      <c r="N13" s="606" t="s">
        <v>1338</v>
      </c>
      <c r="O13" s="606" t="s">
        <v>1339</v>
      </c>
      <c r="P13" s="609" t="s">
        <v>1342</v>
      </c>
    </row>
    <row r="14" spans="1:16" s="375" customFormat="1" outlineLevel="2" x14ac:dyDescent="0.25">
      <c r="A14" s="374"/>
      <c r="B14" s="386" t="s">
        <v>1332</v>
      </c>
      <c r="C14" s="1431"/>
      <c r="D14" s="1432"/>
      <c r="E14" s="1432"/>
      <c r="F14" s="1433"/>
      <c r="G14" s="1432"/>
      <c r="H14" s="1432"/>
      <c r="I14" s="1432"/>
      <c r="J14" s="1432"/>
      <c r="K14" s="1430"/>
      <c r="L14" s="429" t="s">
        <v>1354</v>
      </c>
      <c r="M14" s="606" t="s">
        <v>1337</v>
      </c>
      <c r="N14" s="606" t="s">
        <v>1338</v>
      </c>
      <c r="O14" s="606" t="s">
        <v>1339</v>
      </c>
      <c r="P14" s="609" t="s">
        <v>1342</v>
      </c>
    </row>
    <row r="15" spans="1:16" s="375" customFormat="1" ht="26.25" outlineLevel="2" x14ac:dyDescent="0.25">
      <c r="A15" s="374"/>
      <c r="B15" s="386" t="s">
        <v>1349</v>
      </c>
      <c r="C15" s="1431"/>
      <c r="D15" s="1432"/>
      <c r="E15" s="1432"/>
      <c r="F15" s="1433"/>
      <c r="G15" s="1432"/>
      <c r="H15" s="1432"/>
      <c r="I15" s="1432"/>
      <c r="J15" s="1432"/>
      <c r="K15" s="1430"/>
      <c r="L15" s="429" t="s">
        <v>1354</v>
      </c>
      <c r="M15" s="606" t="s">
        <v>1356</v>
      </c>
      <c r="N15" s="606" t="s">
        <v>1338</v>
      </c>
      <c r="O15" s="606" t="s">
        <v>1357</v>
      </c>
      <c r="P15" s="609" t="s">
        <v>1358</v>
      </c>
    </row>
    <row r="16" spans="1:16" s="375" customFormat="1" ht="15.75" outlineLevel="2" thickBot="1" x14ac:dyDescent="0.3">
      <c r="A16" s="374"/>
      <c r="B16" s="387"/>
      <c r="C16" s="1431"/>
      <c r="D16" s="1432"/>
      <c r="E16" s="1432"/>
      <c r="F16" s="1433"/>
      <c r="G16" s="1432"/>
      <c r="H16" s="1432"/>
      <c r="I16" s="1432"/>
      <c r="J16" s="1432"/>
      <c r="K16" s="1434"/>
      <c r="L16" s="429"/>
      <c r="M16" s="606"/>
      <c r="N16" s="606"/>
      <c r="O16" s="606"/>
      <c r="P16" s="609"/>
    </row>
    <row r="17" spans="1:16" s="306" customFormat="1" ht="24.75" customHeight="1" outlineLevel="1" thickBot="1" x14ac:dyDescent="0.25">
      <c r="A17" s="307"/>
      <c r="B17" s="308" t="s">
        <v>848</v>
      </c>
      <c r="C17" s="309"/>
      <c r="D17" s="309"/>
      <c r="E17" s="309"/>
      <c r="F17" s="309"/>
      <c r="G17" s="309"/>
      <c r="H17" s="309"/>
      <c r="I17" s="309"/>
      <c r="J17" s="309"/>
      <c r="K17" s="309"/>
      <c r="L17" s="309"/>
      <c r="M17" s="309"/>
      <c r="N17" s="309"/>
      <c r="O17" s="309"/>
      <c r="P17" s="310"/>
    </row>
    <row r="18" spans="1:16" s="375" customFormat="1" outlineLevel="2" x14ac:dyDescent="0.25">
      <c r="A18" s="374"/>
      <c r="B18" s="388" t="str">
        <f>IF(ISBLANK(B10),"",B10)</f>
        <v>SPI MANAGEMENT SERVICES  PTY LTD</v>
      </c>
      <c r="C18" s="1435"/>
      <c r="D18" s="1435"/>
      <c r="E18" s="1432"/>
      <c r="F18" s="1432"/>
      <c r="G18" s="1432"/>
      <c r="H18" s="1432"/>
      <c r="I18" s="1432"/>
      <c r="J18" s="1432"/>
      <c r="K18" s="1430"/>
      <c r="L18" s="429"/>
      <c r="M18" s="606"/>
      <c r="N18" s="606"/>
      <c r="O18" s="606"/>
      <c r="P18" s="609"/>
    </row>
    <row r="19" spans="1:16" s="375" customFormat="1" outlineLevel="2" x14ac:dyDescent="0.25">
      <c r="A19" s="374"/>
      <c r="B19" s="389" t="str">
        <f t="shared" ref="B19:B24" si="0">IF(ISBLANK(B11),"",B11)</f>
        <v>ENTERPRISE BUSINESS SERVICES (AUSTRALIA) PTY LTD</v>
      </c>
      <c r="C19" s="1435"/>
      <c r="D19" s="1435"/>
      <c r="E19" s="1432"/>
      <c r="F19" s="1432"/>
      <c r="G19" s="1432"/>
      <c r="H19" s="1432"/>
      <c r="I19" s="1432"/>
      <c r="J19" s="1432"/>
      <c r="K19" s="1430"/>
      <c r="L19" s="429"/>
      <c r="M19" s="606"/>
      <c r="N19" s="606"/>
      <c r="O19" s="606"/>
      <c r="P19" s="609"/>
    </row>
    <row r="20" spans="1:16" s="375" customFormat="1" outlineLevel="2" x14ac:dyDescent="0.25">
      <c r="A20" s="374"/>
      <c r="B20" s="389" t="str">
        <f t="shared" si="0"/>
        <v>CLM INFRASTRUCTURE PTY LTD</v>
      </c>
      <c r="C20" s="1431"/>
      <c r="D20" s="1432"/>
      <c r="E20" s="1432"/>
      <c r="F20" s="1432"/>
      <c r="G20" s="1432"/>
      <c r="H20" s="1432"/>
      <c r="I20" s="1432"/>
      <c r="J20" s="1432"/>
      <c r="K20" s="1430"/>
      <c r="L20" s="429"/>
      <c r="M20" s="606"/>
      <c r="N20" s="606"/>
      <c r="O20" s="606"/>
      <c r="P20" s="609"/>
    </row>
    <row r="21" spans="1:16" s="375" customFormat="1" outlineLevel="2" x14ac:dyDescent="0.25">
      <c r="A21" s="374"/>
      <c r="B21" s="389" t="str">
        <f t="shared" si="0"/>
        <v>ZNX (2) PTY LTD</v>
      </c>
      <c r="C21" s="1431"/>
      <c r="D21" s="1432"/>
      <c r="E21" s="1432"/>
      <c r="F21" s="1432"/>
      <c r="G21" s="1435"/>
      <c r="H21" s="1435"/>
      <c r="I21" s="1435"/>
      <c r="J21" s="1435"/>
      <c r="K21" s="1435"/>
      <c r="L21" s="429"/>
      <c r="M21" s="606"/>
      <c r="N21" s="606"/>
      <c r="O21" s="606"/>
      <c r="P21" s="609"/>
    </row>
    <row r="22" spans="1:16" s="375" customFormat="1" outlineLevel="2" x14ac:dyDescent="0.25">
      <c r="A22" s="374"/>
      <c r="B22" s="389" t="str">
        <f t="shared" si="0"/>
        <v>ZINFRA PTY LTD</v>
      </c>
      <c r="C22" s="1431"/>
      <c r="D22" s="1432"/>
      <c r="E22" s="1432"/>
      <c r="F22" s="1432"/>
      <c r="G22" s="1435"/>
      <c r="H22" s="1435"/>
      <c r="I22" s="1435"/>
      <c r="J22" s="1435"/>
      <c r="K22" s="1435"/>
      <c r="L22" s="429"/>
      <c r="M22" s="606"/>
      <c r="N22" s="606"/>
      <c r="O22" s="606"/>
      <c r="P22" s="609"/>
    </row>
    <row r="23" spans="1:16" s="375" customFormat="1" outlineLevel="2" x14ac:dyDescent="0.25">
      <c r="A23" s="374"/>
      <c r="B23" s="389" t="str">
        <f t="shared" si="0"/>
        <v>JEMENA ASSET MANAGEMENT PTY LTD</v>
      </c>
      <c r="C23" s="1431"/>
      <c r="D23" s="1432"/>
      <c r="E23" s="1432"/>
      <c r="F23" s="1432"/>
      <c r="G23" s="1435"/>
      <c r="H23" s="1435"/>
      <c r="I23" s="1435"/>
      <c r="J23" s="1435"/>
      <c r="K23" s="1435"/>
      <c r="L23" s="429"/>
      <c r="M23" s="606"/>
      <c r="N23" s="606"/>
      <c r="O23" s="606"/>
      <c r="P23" s="609"/>
    </row>
    <row r="24" spans="1:16" s="375" customFormat="1" ht="15.75" outlineLevel="2" thickBot="1" x14ac:dyDescent="0.3">
      <c r="A24" s="374"/>
      <c r="B24" s="390" t="str">
        <f t="shared" si="0"/>
        <v/>
      </c>
      <c r="C24" s="1436"/>
      <c r="D24" s="1437"/>
      <c r="E24" s="1437"/>
      <c r="F24" s="1437"/>
      <c r="G24" s="1437"/>
      <c r="H24" s="1437"/>
      <c r="I24" s="1437"/>
      <c r="J24" s="1437"/>
      <c r="K24" s="1434"/>
      <c r="L24" s="430"/>
      <c r="M24" s="607"/>
      <c r="N24" s="607"/>
      <c r="O24" s="607"/>
      <c r="P24" s="610"/>
    </row>
    <row r="25" spans="1:16" outlineLevel="1" x14ac:dyDescent="0.25"/>
    <row r="27" spans="1:16" s="377" customFormat="1" ht="15.75" thickBot="1" x14ac:dyDescent="0.3">
      <c r="A27" s="376"/>
      <c r="B27" s="376"/>
      <c r="C27" s="376"/>
      <c r="D27" s="376"/>
      <c r="E27" s="374"/>
      <c r="F27" s="374"/>
      <c r="G27" s="374"/>
      <c r="H27" s="374"/>
      <c r="I27" s="374"/>
      <c r="J27" s="374"/>
      <c r="K27" s="374"/>
      <c r="L27" s="345"/>
      <c r="M27" s="345"/>
      <c r="N27" s="345"/>
    </row>
    <row r="28" spans="1:16" s="436" customFormat="1" ht="30" customHeight="1" thickBot="1" x14ac:dyDescent="0.25">
      <c r="A28" s="435"/>
      <c r="B28" s="84" t="str">
        <f>CONCATENATE("F6.2 - ", dms_TradingName, " PAYMENTS GREATER THAN $1,000,000 RECEIVED FROM RELATED PARTY")</f>
        <v>F6.2 - AusNet (Gas) PAYMENTS GREATER THAN $1,000,000 RECEIVED FROM RELATED PARTY</v>
      </c>
      <c r="C28" s="84"/>
      <c r="D28" s="84"/>
      <c r="E28" s="84"/>
      <c r="F28" s="84"/>
      <c r="G28" s="84"/>
      <c r="H28" s="84"/>
      <c r="I28" s="84"/>
      <c r="J28" s="84"/>
      <c r="K28" s="84"/>
      <c r="L28" s="84"/>
      <c r="M28" s="84"/>
      <c r="N28" s="84"/>
      <c r="O28" s="84"/>
      <c r="P28" s="84"/>
    </row>
    <row r="29" spans="1:16" s="375" customFormat="1" ht="33" customHeight="1" outlineLevel="1" thickBot="1" x14ac:dyDescent="0.3">
      <c r="A29" s="374"/>
      <c r="B29" s="73"/>
      <c r="C29" s="1695" t="s">
        <v>638</v>
      </c>
      <c r="D29" s="1695"/>
      <c r="E29" s="1695"/>
      <c r="F29" s="1695"/>
      <c r="G29" s="1695"/>
      <c r="H29" s="1695"/>
      <c r="I29" s="1695"/>
      <c r="J29" s="1695"/>
      <c r="K29" s="1696"/>
      <c r="L29" s="1702" t="s">
        <v>664</v>
      </c>
      <c r="M29" s="1704" t="s">
        <v>665</v>
      </c>
      <c r="N29" s="1706" t="s">
        <v>666</v>
      </c>
      <c r="O29" s="1706" t="s">
        <v>667</v>
      </c>
      <c r="P29" s="1693" t="s">
        <v>668</v>
      </c>
    </row>
    <row r="30" spans="1:16" s="375" customFormat="1" ht="15.75" outlineLevel="1" thickBot="1" x14ac:dyDescent="0.3">
      <c r="A30" s="374"/>
      <c r="B30" s="130"/>
      <c r="C30" s="444">
        <f ca="1">dms_y1</f>
        <v>2011</v>
      </c>
      <c r="D30" s="445">
        <f ca="1">dms_y2</f>
        <v>2012</v>
      </c>
      <c r="E30" s="445">
        <f ca="1">dms_y3</f>
        <v>2013</v>
      </c>
      <c r="F30" s="445">
        <f ca="1">dms_y4</f>
        <v>2014</v>
      </c>
      <c r="G30" s="445">
        <f ca="1">dms_y5</f>
        <v>2015</v>
      </c>
      <c r="H30" s="1318">
        <f ca="1">dms_y6</f>
        <v>2016</v>
      </c>
      <c r="I30" s="1318">
        <f ca="1">dms_y7</f>
        <v>2017</v>
      </c>
      <c r="J30" s="1318">
        <f ca="1">dms_y8</f>
        <v>2018</v>
      </c>
      <c r="K30" s="1318">
        <f ca="1">dms_y9</f>
        <v>2019</v>
      </c>
      <c r="L30" s="1703"/>
      <c r="M30" s="1705"/>
      <c r="N30" s="1707"/>
      <c r="O30" s="1708"/>
      <c r="P30" s="1694"/>
    </row>
    <row r="31" spans="1:16" s="306" customFormat="1" ht="24.75" customHeight="1" outlineLevel="1" thickBot="1" x14ac:dyDescent="0.25">
      <c r="A31" s="307"/>
      <c r="B31" s="308" t="s">
        <v>849</v>
      </c>
      <c r="C31" s="309"/>
      <c r="D31" s="309"/>
      <c r="E31" s="309"/>
      <c r="F31" s="309"/>
      <c r="G31" s="309"/>
      <c r="H31" s="309"/>
      <c r="I31" s="309"/>
      <c r="J31" s="309"/>
      <c r="K31" s="309"/>
      <c r="L31" s="309"/>
      <c r="M31" s="309"/>
      <c r="N31" s="309"/>
      <c r="O31" s="309"/>
      <c r="P31" s="310"/>
    </row>
    <row r="32" spans="1:16" s="375" customFormat="1" outlineLevel="2" x14ac:dyDescent="0.25">
      <c r="A32" s="374"/>
      <c r="B32" s="385" t="s">
        <v>1330</v>
      </c>
      <c r="C32" s="1426"/>
      <c r="D32" s="1428"/>
      <c r="E32" s="1427"/>
      <c r="F32" s="1428"/>
      <c r="G32" s="1427"/>
      <c r="H32" s="1427"/>
      <c r="I32" s="1427"/>
      <c r="J32" s="1427"/>
      <c r="K32" s="1430"/>
      <c r="L32" s="428" t="s">
        <v>127</v>
      </c>
      <c r="M32" s="605" t="s">
        <v>127</v>
      </c>
      <c r="N32" s="605" t="s">
        <v>127</v>
      </c>
      <c r="O32" s="605" t="s">
        <v>127</v>
      </c>
      <c r="P32" s="608" t="s">
        <v>127</v>
      </c>
    </row>
    <row r="33" spans="1:16" s="375" customFormat="1" outlineLevel="2" x14ac:dyDescent="0.25">
      <c r="A33" s="374"/>
      <c r="B33" s="386"/>
      <c r="C33" s="1426"/>
      <c r="D33" s="1428"/>
      <c r="E33" s="1427"/>
      <c r="F33" s="1428"/>
      <c r="G33" s="1427"/>
      <c r="H33" s="1427"/>
      <c r="I33" s="1427"/>
      <c r="J33" s="1427"/>
      <c r="K33" s="1430"/>
      <c r="L33" s="429"/>
      <c r="M33" s="606"/>
      <c r="N33" s="606"/>
      <c r="O33" s="606"/>
      <c r="P33" s="609"/>
    </row>
    <row r="34" spans="1:16" s="375" customFormat="1" outlineLevel="2" x14ac:dyDescent="0.25">
      <c r="A34" s="374"/>
      <c r="B34" s="386"/>
      <c r="C34" s="1426"/>
      <c r="D34" s="1428"/>
      <c r="E34" s="1427"/>
      <c r="F34" s="1428"/>
      <c r="G34" s="1427"/>
      <c r="H34" s="1427"/>
      <c r="I34" s="1427"/>
      <c r="J34" s="1427"/>
      <c r="K34" s="1430"/>
      <c r="L34" s="429"/>
      <c r="M34" s="606"/>
      <c r="N34" s="606"/>
      <c r="O34" s="606"/>
      <c r="P34" s="609"/>
    </row>
    <row r="35" spans="1:16" s="375" customFormat="1" outlineLevel="2" x14ac:dyDescent="0.25">
      <c r="A35" s="374"/>
      <c r="B35" s="386"/>
      <c r="C35" s="1431"/>
      <c r="D35" s="1433"/>
      <c r="E35" s="1432"/>
      <c r="F35" s="1433"/>
      <c r="G35" s="1432"/>
      <c r="H35" s="1432"/>
      <c r="I35" s="1432"/>
      <c r="J35" s="1432"/>
      <c r="K35" s="1430"/>
      <c r="L35" s="429"/>
      <c r="M35" s="606"/>
      <c r="N35" s="606"/>
      <c r="O35" s="606"/>
      <c r="P35" s="609"/>
    </row>
    <row r="36" spans="1:16" s="375" customFormat="1" outlineLevel="2" x14ac:dyDescent="0.25">
      <c r="A36" s="374"/>
      <c r="B36" s="386"/>
      <c r="C36" s="1431"/>
      <c r="D36" s="1433"/>
      <c r="E36" s="1432"/>
      <c r="F36" s="1433"/>
      <c r="G36" s="1432"/>
      <c r="H36" s="1432"/>
      <c r="I36" s="1432"/>
      <c r="J36" s="1432"/>
      <c r="K36" s="1430"/>
      <c r="L36" s="429"/>
      <c r="M36" s="606"/>
      <c r="N36" s="606"/>
      <c r="O36" s="606"/>
      <c r="P36" s="609"/>
    </row>
    <row r="37" spans="1:16" s="375" customFormat="1" outlineLevel="2" x14ac:dyDescent="0.25">
      <c r="A37" s="374"/>
      <c r="B37" s="386"/>
      <c r="C37" s="1431"/>
      <c r="D37" s="1433"/>
      <c r="E37" s="1432"/>
      <c r="F37" s="1433"/>
      <c r="G37" s="1432"/>
      <c r="H37" s="1432"/>
      <c r="I37" s="1432"/>
      <c r="J37" s="1432"/>
      <c r="K37" s="1430"/>
      <c r="L37" s="429"/>
      <c r="M37" s="606"/>
      <c r="N37" s="606"/>
      <c r="O37" s="606"/>
      <c r="P37" s="609"/>
    </row>
    <row r="38" spans="1:16" s="375" customFormat="1" ht="15.75" outlineLevel="2" thickBot="1" x14ac:dyDescent="0.3">
      <c r="A38" s="374"/>
      <c r="B38" s="387"/>
      <c r="C38" s="1431"/>
      <c r="D38" s="1433"/>
      <c r="E38" s="1432"/>
      <c r="F38" s="1433"/>
      <c r="G38" s="1432"/>
      <c r="H38" s="1432"/>
      <c r="I38" s="1432"/>
      <c r="J38" s="1432"/>
      <c r="K38" s="1434"/>
      <c r="L38" s="429"/>
      <c r="M38" s="606"/>
      <c r="N38" s="606"/>
      <c r="O38" s="606"/>
      <c r="P38" s="609"/>
    </row>
    <row r="39" spans="1:16" s="306" customFormat="1" ht="24.75" customHeight="1" outlineLevel="1" thickBot="1" x14ac:dyDescent="0.25">
      <c r="A39" s="307"/>
      <c r="B39" s="308" t="str">
        <f>CONCATENATE("F6.2.2 - CORRESPONDING EXPENSES INCURRED BY ",dms_TradingName)</f>
        <v>F6.2.2 - CORRESPONDING EXPENSES INCURRED BY AusNet (Gas)</v>
      </c>
      <c r="C39" s="309"/>
      <c r="D39" s="309"/>
      <c r="E39" s="309"/>
      <c r="F39" s="309"/>
      <c r="G39" s="309"/>
      <c r="H39" s="309"/>
      <c r="I39" s="309"/>
      <c r="J39" s="309"/>
      <c r="K39" s="309"/>
      <c r="L39" s="309"/>
      <c r="M39" s="309"/>
      <c r="N39" s="309"/>
      <c r="O39" s="309"/>
      <c r="P39" s="310"/>
    </row>
    <row r="40" spans="1:16" s="375" customFormat="1" outlineLevel="2" x14ac:dyDescent="0.25">
      <c r="A40" s="374"/>
      <c r="B40" s="388" t="str">
        <f>IF(ISBLANK(B32),"",B32)</f>
        <v>n/a</v>
      </c>
      <c r="C40" s="1431"/>
      <c r="D40" s="1433"/>
      <c r="E40" s="1432"/>
      <c r="F40" s="1433"/>
      <c r="G40" s="1432"/>
      <c r="H40" s="1432"/>
      <c r="I40" s="1432"/>
      <c r="J40" s="1432"/>
      <c r="K40" s="1430"/>
      <c r="L40" s="429" t="s">
        <v>127</v>
      </c>
      <c r="M40" s="606" t="s">
        <v>127</v>
      </c>
      <c r="N40" s="606" t="s">
        <v>127</v>
      </c>
      <c r="O40" s="606" t="s">
        <v>127</v>
      </c>
      <c r="P40" s="609" t="s">
        <v>127</v>
      </c>
    </row>
    <row r="41" spans="1:16" s="375" customFormat="1" outlineLevel="2" x14ac:dyDescent="0.25">
      <c r="A41" s="374"/>
      <c r="B41" s="389" t="str">
        <f t="shared" ref="B41:B46" si="1">IF(ISBLANK(B33),"",B33)</f>
        <v/>
      </c>
      <c r="C41" s="1431"/>
      <c r="D41" s="1433"/>
      <c r="E41" s="1432"/>
      <c r="F41" s="1433"/>
      <c r="G41" s="1432"/>
      <c r="H41" s="1432"/>
      <c r="I41" s="1432"/>
      <c r="J41" s="1432"/>
      <c r="K41" s="1430"/>
      <c r="L41" s="429"/>
      <c r="M41" s="606"/>
      <c r="N41" s="606"/>
      <c r="O41" s="606"/>
      <c r="P41" s="609"/>
    </row>
    <row r="42" spans="1:16" s="375" customFormat="1" outlineLevel="2" x14ac:dyDescent="0.25">
      <c r="A42" s="374"/>
      <c r="B42" s="389" t="str">
        <f t="shared" si="1"/>
        <v/>
      </c>
      <c r="C42" s="1431"/>
      <c r="D42" s="1433"/>
      <c r="E42" s="1432"/>
      <c r="F42" s="1433"/>
      <c r="G42" s="1432"/>
      <c r="H42" s="1432"/>
      <c r="I42" s="1432"/>
      <c r="J42" s="1432"/>
      <c r="K42" s="1430"/>
      <c r="L42" s="429"/>
      <c r="M42" s="606"/>
      <c r="N42" s="606"/>
      <c r="O42" s="606"/>
      <c r="P42" s="609"/>
    </row>
    <row r="43" spans="1:16" s="375" customFormat="1" outlineLevel="2" x14ac:dyDescent="0.25">
      <c r="A43" s="374"/>
      <c r="B43" s="389" t="str">
        <f t="shared" si="1"/>
        <v/>
      </c>
      <c r="C43" s="1431"/>
      <c r="D43" s="1433"/>
      <c r="E43" s="1432"/>
      <c r="F43" s="1433"/>
      <c r="G43" s="1432"/>
      <c r="H43" s="1432"/>
      <c r="I43" s="1432"/>
      <c r="J43" s="1432"/>
      <c r="K43" s="1430"/>
      <c r="L43" s="429"/>
      <c r="M43" s="606"/>
      <c r="N43" s="606"/>
      <c r="O43" s="606"/>
      <c r="P43" s="609"/>
    </row>
    <row r="44" spans="1:16" s="375" customFormat="1" outlineLevel="2" x14ac:dyDescent="0.25">
      <c r="A44" s="374"/>
      <c r="B44" s="389" t="str">
        <f t="shared" si="1"/>
        <v/>
      </c>
      <c r="C44" s="1431"/>
      <c r="D44" s="1433"/>
      <c r="E44" s="1432"/>
      <c r="F44" s="1433"/>
      <c r="G44" s="1432"/>
      <c r="H44" s="1432"/>
      <c r="I44" s="1432"/>
      <c r="J44" s="1432"/>
      <c r="K44" s="1430"/>
      <c r="L44" s="429"/>
      <c r="M44" s="606"/>
      <c r="N44" s="606"/>
      <c r="O44" s="606"/>
      <c r="P44" s="609"/>
    </row>
    <row r="45" spans="1:16" s="375" customFormat="1" outlineLevel="2" x14ac:dyDescent="0.25">
      <c r="A45" s="374"/>
      <c r="B45" s="389" t="str">
        <f t="shared" si="1"/>
        <v/>
      </c>
      <c r="C45" s="1431"/>
      <c r="D45" s="1433"/>
      <c r="E45" s="1432"/>
      <c r="F45" s="1433"/>
      <c r="G45" s="1432"/>
      <c r="H45" s="1432"/>
      <c r="I45" s="1432"/>
      <c r="J45" s="1432"/>
      <c r="K45" s="1430"/>
      <c r="L45" s="429"/>
      <c r="M45" s="606"/>
      <c r="N45" s="606"/>
      <c r="O45" s="606"/>
      <c r="P45" s="609"/>
    </row>
    <row r="46" spans="1:16" s="375" customFormat="1" ht="15.75" outlineLevel="2" thickBot="1" x14ac:dyDescent="0.3">
      <c r="A46" s="374"/>
      <c r="B46" s="390" t="str">
        <f t="shared" si="1"/>
        <v/>
      </c>
      <c r="C46" s="1436"/>
      <c r="D46" s="1438"/>
      <c r="E46" s="1437"/>
      <c r="F46" s="1438"/>
      <c r="G46" s="1437"/>
      <c r="H46" s="1437"/>
      <c r="I46" s="1437"/>
      <c r="J46" s="1437"/>
      <c r="K46" s="1434"/>
      <c r="L46" s="430"/>
      <c r="M46" s="607"/>
      <c r="N46" s="607"/>
      <c r="O46" s="607"/>
      <c r="P46" s="610"/>
    </row>
    <row r="47" spans="1:16" s="375" customFormat="1" outlineLevel="1" x14ac:dyDescent="0.25">
      <c r="A47" s="374"/>
      <c r="B47" s="374"/>
      <c r="C47" s="374"/>
      <c r="D47" s="374"/>
      <c r="E47" s="374"/>
      <c r="F47" s="374"/>
      <c r="G47" s="374"/>
      <c r="H47" s="374"/>
      <c r="I47" s="374"/>
      <c r="J47" s="374"/>
      <c r="K47" s="374"/>
      <c r="L47" s="345"/>
      <c r="M47" s="345"/>
      <c r="N47" s="345"/>
    </row>
    <row r="48" spans="1:16" s="306" customFormat="1" x14ac:dyDescent="0.25">
      <c r="A48" s="345"/>
      <c r="B48" s="345"/>
      <c r="C48" s="345"/>
      <c r="D48" s="345"/>
      <c r="E48" s="345"/>
      <c r="F48" s="345"/>
      <c r="G48" s="345"/>
      <c r="H48" s="345"/>
      <c r="I48" s="1294"/>
      <c r="J48" s="345"/>
      <c r="K48" s="345"/>
      <c r="L48" s="345"/>
      <c r="M48" s="345"/>
      <c r="N48" s="345"/>
    </row>
    <row r="49" spans="1:15" s="306" customFormat="1" ht="15.75" thickBot="1" x14ac:dyDescent="0.3">
      <c r="A49" s="345"/>
      <c r="B49" s="345"/>
      <c r="C49" s="345"/>
      <c r="D49" s="345"/>
      <c r="E49" s="345"/>
      <c r="F49" s="345"/>
      <c r="G49" s="345"/>
      <c r="H49" s="345"/>
      <c r="I49" s="1294"/>
      <c r="J49" s="345"/>
      <c r="K49" s="345"/>
      <c r="L49" s="345"/>
      <c r="M49" s="345"/>
      <c r="N49" s="345"/>
    </row>
    <row r="50" spans="1:15" s="306" customFormat="1" ht="30" customHeight="1" thickBot="1" x14ac:dyDescent="0.3">
      <c r="A50" s="305"/>
      <c r="B50" s="84" t="s">
        <v>850</v>
      </c>
      <c r="C50" s="84"/>
      <c r="D50" s="84"/>
      <c r="E50" s="84"/>
      <c r="F50" s="84"/>
      <c r="G50" s="84"/>
      <c r="H50" s="84"/>
      <c r="I50" s="84"/>
      <c r="J50" s="84"/>
      <c r="K50" s="84"/>
      <c r="L50" s="345"/>
      <c r="M50" s="345"/>
      <c r="N50" s="345"/>
    </row>
    <row r="51" spans="1:15" s="306" customFormat="1" ht="24.75" customHeight="1" outlineLevel="1" thickBot="1" x14ac:dyDescent="0.3">
      <c r="A51" s="305"/>
      <c r="B51" s="308" t="s">
        <v>851</v>
      </c>
      <c r="C51" s="309"/>
      <c r="D51" s="309"/>
      <c r="E51" s="309"/>
      <c r="F51" s="309"/>
      <c r="G51" s="309"/>
      <c r="H51" s="309"/>
      <c r="I51" s="309"/>
      <c r="J51" s="309"/>
      <c r="K51" s="309"/>
      <c r="L51" s="345"/>
      <c r="M51" s="345"/>
      <c r="N51" s="345"/>
    </row>
    <row r="52" spans="1:15" s="375" customFormat="1" ht="17.25" customHeight="1" outlineLevel="2" x14ac:dyDescent="0.25">
      <c r="A52" s="374"/>
      <c r="B52" s="73"/>
      <c r="C52" s="1712" t="s">
        <v>637</v>
      </c>
      <c r="D52" s="1712"/>
      <c r="E52" s="1712"/>
      <c r="F52" s="1712"/>
      <c r="G52" s="1712"/>
      <c r="H52" s="1712"/>
      <c r="I52" s="1712"/>
      <c r="J52" s="1712"/>
      <c r="K52" s="1712"/>
      <c r="L52" s="374"/>
      <c r="M52" s="374"/>
      <c r="N52" s="374"/>
    </row>
    <row r="53" spans="1:15" s="375" customFormat="1" ht="17.25" customHeight="1" outlineLevel="2" thickBot="1" x14ac:dyDescent="0.3">
      <c r="A53" s="374"/>
      <c r="B53" s="315"/>
      <c r="C53" s="1713" t="s">
        <v>638</v>
      </c>
      <c r="D53" s="1713"/>
      <c r="E53" s="1713"/>
      <c r="F53" s="1713"/>
      <c r="G53" s="1713"/>
      <c r="H53" s="1713"/>
      <c r="I53" s="1713"/>
      <c r="J53" s="1713"/>
      <c r="K53" s="1713"/>
      <c r="L53" s="374"/>
      <c r="M53" s="374"/>
      <c r="N53" s="374"/>
    </row>
    <row r="54" spans="1:15" s="375" customFormat="1" ht="17.25" customHeight="1" outlineLevel="2" thickBot="1" x14ac:dyDescent="0.25">
      <c r="A54" s="374"/>
      <c r="B54" s="359" t="s">
        <v>670</v>
      </c>
      <c r="C54" s="444">
        <f ca="1">dms_y1</f>
        <v>2011</v>
      </c>
      <c r="D54" s="445">
        <f ca="1">dms_y2</f>
        <v>2012</v>
      </c>
      <c r="E54" s="445">
        <f ca="1">dms_y3</f>
        <v>2013</v>
      </c>
      <c r="F54" s="445">
        <f ca="1">dms_y4</f>
        <v>2014</v>
      </c>
      <c r="G54" s="445">
        <f ca="1">dms_y5</f>
        <v>2015</v>
      </c>
      <c r="H54" s="1318">
        <f ca="1">dms_y6</f>
        <v>2016</v>
      </c>
      <c r="I54" s="1318">
        <f ca="1">dms_y7</f>
        <v>2017</v>
      </c>
      <c r="J54" s="1318">
        <f ca="1">dms_y8</f>
        <v>2018</v>
      </c>
      <c r="K54" s="1318">
        <f ca="1">dms_y9</f>
        <v>2019</v>
      </c>
      <c r="L54" s="374"/>
      <c r="M54" s="374"/>
      <c r="N54" s="374"/>
    </row>
    <row r="55" spans="1:15" s="375" customFormat="1" outlineLevel="2" x14ac:dyDescent="0.25">
      <c r="A55" s="374"/>
      <c r="B55" s="88" t="s">
        <v>671</v>
      </c>
      <c r="C55" s="1439"/>
      <c r="D55" s="1440"/>
      <c r="E55" s="1441"/>
      <c r="F55" s="1440"/>
      <c r="G55" s="1441"/>
      <c r="H55" s="1441"/>
      <c r="I55" s="1441"/>
      <c r="J55" s="1441"/>
      <c r="K55" s="1442"/>
      <c r="L55" s="374"/>
      <c r="M55" s="374"/>
      <c r="N55" s="374"/>
    </row>
    <row r="56" spans="1:15" s="375" customFormat="1" outlineLevel="2" x14ac:dyDescent="0.25">
      <c r="A56" s="374"/>
      <c r="B56" s="88" t="s">
        <v>692</v>
      </c>
      <c r="C56" s="1426"/>
      <c r="D56" s="1428"/>
      <c r="E56" s="1427"/>
      <c r="F56" s="1428"/>
      <c r="G56" s="1427"/>
      <c r="H56" s="1427"/>
      <c r="I56" s="1427"/>
      <c r="J56" s="1427"/>
      <c r="K56" s="1443"/>
      <c r="L56" s="374"/>
      <c r="M56" s="374"/>
      <c r="N56" s="374"/>
    </row>
    <row r="57" spans="1:15" s="375" customFormat="1" outlineLevel="2" x14ac:dyDescent="0.25">
      <c r="A57" s="374"/>
      <c r="B57" s="88" t="s">
        <v>693</v>
      </c>
      <c r="C57" s="1426"/>
      <c r="D57" s="1494"/>
      <c r="E57" s="1490"/>
      <c r="F57" s="1494"/>
      <c r="G57" s="1490"/>
      <c r="H57" s="1427"/>
      <c r="I57" s="1490"/>
      <c r="J57" s="1490"/>
      <c r="K57" s="1492"/>
      <c r="L57" s="374"/>
      <c r="M57" s="374"/>
      <c r="N57" s="374"/>
    </row>
    <row r="58" spans="1:15" s="375" customFormat="1" outlineLevel="2" x14ac:dyDescent="0.25">
      <c r="A58" s="374"/>
      <c r="B58" s="88" t="s">
        <v>672</v>
      </c>
      <c r="C58" s="1426"/>
      <c r="D58" s="1494"/>
      <c r="E58" s="1490"/>
      <c r="F58" s="1494"/>
      <c r="G58" s="1490"/>
      <c r="H58" s="1490"/>
      <c r="I58" s="1490"/>
      <c r="J58" s="1490"/>
      <c r="K58" s="1492"/>
      <c r="L58" s="374"/>
      <c r="M58" s="374"/>
      <c r="N58" s="374"/>
    </row>
    <row r="59" spans="1:15" s="375" customFormat="1" outlineLevel="2" x14ac:dyDescent="0.25">
      <c r="A59" s="374"/>
      <c r="B59" s="88" t="s">
        <v>673</v>
      </c>
      <c r="C59" s="1426"/>
      <c r="D59" s="1494"/>
      <c r="E59" s="1490"/>
      <c r="F59" s="1494"/>
      <c r="G59" s="1490"/>
      <c r="H59" s="1490"/>
      <c r="I59" s="1490"/>
      <c r="J59" s="1490"/>
      <c r="K59" s="1492"/>
      <c r="L59" s="374"/>
      <c r="M59" s="374"/>
      <c r="N59" s="374"/>
    </row>
    <row r="60" spans="1:15" s="375" customFormat="1" outlineLevel="2" x14ac:dyDescent="0.25">
      <c r="A60" s="374"/>
      <c r="B60" s="88" t="s">
        <v>694</v>
      </c>
      <c r="C60" s="1426"/>
      <c r="D60" s="1494"/>
      <c r="E60" s="1490"/>
      <c r="F60" s="1494"/>
      <c r="G60" s="1490"/>
      <c r="H60" s="1490"/>
      <c r="I60" s="1490"/>
      <c r="J60" s="1490"/>
      <c r="K60" s="1492"/>
      <c r="L60" s="374"/>
      <c r="M60" s="374"/>
      <c r="N60" s="374"/>
    </row>
    <row r="61" spans="1:15" s="375" customFormat="1" outlineLevel="2" x14ac:dyDescent="0.25">
      <c r="A61" s="374"/>
      <c r="B61" s="88" t="s">
        <v>695</v>
      </c>
      <c r="C61" s="1426"/>
      <c r="D61" s="1494"/>
      <c r="E61" s="1490"/>
      <c r="F61" s="1494"/>
      <c r="G61" s="1490"/>
      <c r="H61" s="1490"/>
      <c r="I61" s="1490"/>
      <c r="J61" s="1490"/>
      <c r="K61" s="1492"/>
      <c r="L61" s="374"/>
      <c r="M61" s="374"/>
      <c r="N61" s="374"/>
    </row>
    <row r="62" spans="1:15" s="375" customFormat="1" outlineLevel="2" x14ac:dyDescent="0.25">
      <c r="A62" s="374"/>
      <c r="B62" s="88" t="s">
        <v>696</v>
      </c>
      <c r="C62" s="1431"/>
      <c r="D62" s="1494"/>
      <c r="E62" s="1490"/>
      <c r="F62" s="1494"/>
      <c r="G62" s="1490"/>
      <c r="H62" s="1490"/>
      <c r="I62" s="1490"/>
      <c r="J62" s="1490"/>
      <c r="K62" s="1492"/>
      <c r="L62" s="374"/>
      <c r="M62" s="374"/>
      <c r="N62" s="374"/>
    </row>
    <row r="63" spans="1:15" s="375" customFormat="1" ht="15.75" outlineLevel="2" thickBot="1" x14ac:dyDescent="0.3">
      <c r="A63" s="374"/>
      <c r="B63" s="88" t="s">
        <v>697</v>
      </c>
      <c r="C63" s="1444"/>
      <c r="D63" s="1445"/>
      <c r="E63" s="1446"/>
      <c r="F63" s="1445"/>
      <c r="G63" s="1446"/>
      <c r="H63" s="1446"/>
      <c r="I63" s="1446"/>
      <c r="J63" s="1446"/>
      <c r="K63" s="1447"/>
      <c r="L63" s="374"/>
      <c r="M63" s="374"/>
      <c r="N63" s="374"/>
    </row>
    <row r="64" spans="1:15" s="380" customFormat="1" ht="13.5" outlineLevel="2" thickBot="1" x14ac:dyDescent="0.25">
      <c r="A64" s="378"/>
      <c r="B64" s="391" t="s">
        <v>640</v>
      </c>
      <c r="C64" s="1448">
        <f>SUM(C55:C63)</f>
        <v>0</v>
      </c>
      <c r="D64" s="1448">
        <f t="shared" ref="D64:K64" si="2">SUM(D55:D63)</f>
        <v>0</v>
      </c>
      <c r="E64" s="1448">
        <f t="shared" si="2"/>
        <v>0</v>
      </c>
      <c r="F64" s="1448">
        <f t="shared" si="2"/>
        <v>0</v>
      </c>
      <c r="G64" s="1448">
        <f t="shared" si="2"/>
        <v>0</v>
      </c>
      <c r="H64" s="1448">
        <f t="shared" si="2"/>
        <v>0</v>
      </c>
      <c r="I64" s="1448">
        <f t="shared" si="2"/>
        <v>0</v>
      </c>
      <c r="J64" s="1448">
        <f t="shared" si="2"/>
        <v>0</v>
      </c>
      <c r="K64" s="1448">
        <f t="shared" si="2"/>
        <v>0</v>
      </c>
      <c r="L64" s="378"/>
      <c r="M64" s="378"/>
      <c r="N64" s="378"/>
      <c r="O64" s="379"/>
    </row>
    <row r="65" spans="1:15" outlineLevel="1" x14ac:dyDescent="0.25">
      <c r="A65" s="518"/>
    </row>
    <row r="66" spans="1:15" ht="15.75" outlineLevel="1" thickBot="1" x14ac:dyDescent="0.3">
      <c r="A66" s="518"/>
      <c r="B66" s="381"/>
    </row>
    <row r="67" spans="1:15" s="306" customFormat="1" ht="24.75" customHeight="1" outlineLevel="1" thickBot="1" x14ac:dyDescent="0.3">
      <c r="A67" s="435"/>
      <c r="B67" s="308" t="s">
        <v>892</v>
      </c>
      <c r="C67" s="309"/>
      <c r="D67" s="309"/>
      <c r="E67" s="309"/>
      <c r="F67" s="309"/>
      <c r="G67" s="309"/>
      <c r="H67" s="309"/>
      <c r="I67" s="309"/>
      <c r="J67" s="309"/>
      <c r="K67" s="309"/>
      <c r="L67" s="345"/>
      <c r="M67" s="345"/>
      <c r="N67" s="345"/>
    </row>
    <row r="68" spans="1:15" s="375" customFormat="1" ht="17.25" customHeight="1" outlineLevel="2" x14ac:dyDescent="0.25">
      <c r="A68" s="374"/>
      <c r="B68" s="73"/>
      <c r="C68" s="1712" t="s">
        <v>637</v>
      </c>
      <c r="D68" s="1712"/>
      <c r="E68" s="1712"/>
      <c r="F68" s="1712"/>
      <c r="G68" s="1712"/>
      <c r="H68" s="1712"/>
      <c r="I68" s="1712"/>
      <c r="J68" s="1712"/>
      <c r="K68" s="1712"/>
      <c r="L68" s="374"/>
      <c r="M68" s="374"/>
      <c r="N68" s="374"/>
    </row>
    <row r="69" spans="1:15" s="375" customFormat="1" ht="17.25" customHeight="1" outlineLevel="2" thickBot="1" x14ac:dyDescent="0.3">
      <c r="A69" s="374"/>
      <c r="B69" s="315"/>
      <c r="C69" s="1713" t="s">
        <v>638</v>
      </c>
      <c r="D69" s="1713"/>
      <c r="E69" s="1713"/>
      <c r="F69" s="1713"/>
      <c r="G69" s="1713"/>
      <c r="H69" s="1713"/>
      <c r="I69" s="1713"/>
      <c r="J69" s="1713"/>
      <c r="K69" s="1713"/>
      <c r="L69" s="374"/>
      <c r="M69" s="374"/>
      <c r="N69" s="374"/>
    </row>
    <row r="70" spans="1:15" s="375" customFormat="1" ht="17.25" customHeight="1" outlineLevel="2" thickBot="1" x14ac:dyDescent="0.25">
      <c r="A70" s="374"/>
      <c r="B70" s="359" t="s">
        <v>674</v>
      </c>
      <c r="C70" s="444">
        <f ca="1">dms_y1</f>
        <v>2011</v>
      </c>
      <c r="D70" s="445">
        <f ca="1">dms_y2</f>
        <v>2012</v>
      </c>
      <c r="E70" s="445">
        <f ca="1">dms_y3</f>
        <v>2013</v>
      </c>
      <c r="F70" s="445">
        <f ca="1">dms_y4</f>
        <v>2014</v>
      </c>
      <c r="G70" s="445">
        <f ca="1">dms_y5</f>
        <v>2015</v>
      </c>
      <c r="H70" s="1318">
        <f ca="1">dms_y6</f>
        <v>2016</v>
      </c>
      <c r="I70" s="1318">
        <f ca="1">dms_y7</f>
        <v>2017</v>
      </c>
      <c r="J70" s="1318">
        <f ca="1">dms_y8</f>
        <v>2018</v>
      </c>
      <c r="K70" s="1318">
        <f ca="1">dms_y9</f>
        <v>2019</v>
      </c>
      <c r="L70" s="374"/>
      <c r="M70" s="374"/>
      <c r="N70" s="374"/>
    </row>
    <row r="71" spans="1:15" s="375" customFormat="1" outlineLevel="2" x14ac:dyDescent="0.25">
      <c r="A71" s="374"/>
      <c r="B71" s="88" t="s">
        <v>1220</v>
      </c>
      <c r="C71" s="1440"/>
      <c r="D71" s="1441"/>
      <c r="E71" s="1441"/>
      <c r="F71" s="1440"/>
      <c r="G71" s="1441"/>
      <c r="H71" s="1441"/>
      <c r="I71" s="1441"/>
      <c r="J71" s="1441"/>
      <c r="K71" s="1442"/>
      <c r="L71" s="374"/>
      <c r="M71" s="374"/>
      <c r="N71" s="374"/>
    </row>
    <row r="72" spans="1:15" s="375" customFormat="1" outlineLevel="2" x14ac:dyDescent="0.25">
      <c r="A72" s="374"/>
      <c r="B72" s="88" t="s">
        <v>1229</v>
      </c>
      <c r="C72" s="1428"/>
      <c r="D72" s="1427"/>
      <c r="E72" s="1427"/>
      <c r="F72" s="1428"/>
      <c r="G72" s="1427"/>
      <c r="H72" s="1427"/>
      <c r="I72" s="1427"/>
      <c r="J72" s="1427"/>
      <c r="K72" s="1443"/>
      <c r="L72" s="374"/>
      <c r="M72" s="374"/>
      <c r="N72" s="374"/>
    </row>
    <row r="73" spans="1:15" s="375" customFormat="1" outlineLevel="2" x14ac:dyDescent="0.25">
      <c r="A73" s="374"/>
      <c r="B73" s="88" t="s">
        <v>1223</v>
      </c>
      <c r="C73" s="1494"/>
      <c r="D73" s="1490"/>
      <c r="E73" s="1490"/>
      <c r="F73" s="1494"/>
      <c r="G73" s="1490"/>
      <c r="H73" s="1490"/>
      <c r="I73" s="1490"/>
      <c r="J73" s="1490"/>
      <c r="K73" s="1492"/>
      <c r="L73" s="374"/>
      <c r="M73" s="374"/>
      <c r="N73" s="374"/>
    </row>
    <row r="74" spans="1:15" s="375" customFormat="1" outlineLevel="2" x14ac:dyDescent="0.25">
      <c r="A74" s="374"/>
      <c r="B74" s="88" t="s">
        <v>1224</v>
      </c>
      <c r="C74" s="1494"/>
      <c r="D74" s="1490"/>
      <c r="E74" s="1490"/>
      <c r="F74" s="1494"/>
      <c r="G74" s="1490"/>
      <c r="H74" s="1490"/>
      <c r="I74" s="1490"/>
      <c r="J74" s="1490"/>
      <c r="K74" s="1492"/>
      <c r="L74" s="374"/>
      <c r="M74" s="374"/>
      <c r="N74" s="374"/>
    </row>
    <row r="75" spans="1:15" s="375" customFormat="1" outlineLevel="2" x14ac:dyDescent="0.25">
      <c r="A75" s="374"/>
      <c r="B75" s="88" t="s">
        <v>1197</v>
      </c>
      <c r="C75" s="1494"/>
      <c r="D75" s="1490"/>
      <c r="E75" s="1490"/>
      <c r="F75" s="1494"/>
      <c r="G75" s="1490"/>
      <c r="H75" s="1490"/>
      <c r="I75" s="1490"/>
      <c r="J75" s="1490"/>
      <c r="K75" s="1492"/>
      <c r="L75" s="374"/>
      <c r="M75" s="374"/>
      <c r="N75" s="374"/>
    </row>
    <row r="76" spans="1:15" s="375" customFormat="1" outlineLevel="2" x14ac:dyDescent="0.25">
      <c r="A76" s="374"/>
      <c r="B76" s="88" t="s">
        <v>1222</v>
      </c>
      <c r="C76" s="1494"/>
      <c r="D76" s="1490"/>
      <c r="E76" s="1490"/>
      <c r="F76" s="1494"/>
      <c r="G76" s="1490"/>
      <c r="H76" s="1490"/>
      <c r="I76" s="1490"/>
      <c r="J76" s="1490"/>
      <c r="K76" s="1492"/>
      <c r="L76" s="374"/>
      <c r="M76" s="374"/>
      <c r="N76" s="374"/>
    </row>
    <row r="77" spans="1:15" s="375" customFormat="1" outlineLevel="2" x14ac:dyDescent="0.25">
      <c r="A77" s="374"/>
      <c r="B77" s="88" t="s">
        <v>1198</v>
      </c>
      <c r="C77" s="1494"/>
      <c r="D77" s="1490"/>
      <c r="E77" s="1490"/>
      <c r="F77" s="1494"/>
      <c r="G77" s="1490"/>
      <c r="H77" s="1490"/>
      <c r="I77" s="1490"/>
      <c r="J77" s="1490"/>
      <c r="K77" s="1492"/>
      <c r="L77" s="374"/>
      <c r="M77" s="374"/>
      <c r="N77" s="374"/>
    </row>
    <row r="78" spans="1:15" s="375" customFormat="1" outlineLevel="2" x14ac:dyDescent="0.25">
      <c r="A78" s="374"/>
      <c r="B78" s="88" t="s">
        <v>1221</v>
      </c>
      <c r="C78" s="1428"/>
      <c r="D78" s="1427"/>
      <c r="E78" s="1427"/>
      <c r="F78" s="1428"/>
      <c r="G78" s="1427"/>
      <c r="H78" s="1427"/>
      <c r="I78" s="1427"/>
      <c r="J78" s="1427"/>
      <c r="K78" s="1443"/>
      <c r="L78" s="374"/>
      <c r="M78" s="374"/>
      <c r="N78" s="374"/>
    </row>
    <row r="79" spans="1:15" s="380" customFormat="1" ht="13.5" outlineLevel="2" thickBot="1" x14ac:dyDescent="0.25">
      <c r="A79" s="378"/>
      <c r="B79" s="589" t="s">
        <v>640</v>
      </c>
      <c r="C79" s="1449">
        <f t="shared" ref="C79:K79" si="3">SUM(C71:C78)</f>
        <v>0</v>
      </c>
      <c r="D79" s="1449">
        <f t="shared" si="3"/>
        <v>0</v>
      </c>
      <c r="E79" s="1449">
        <f t="shared" si="3"/>
        <v>0</v>
      </c>
      <c r="F79" s="1449">
        <f t="shared" si="3"/>
        <v>0</v>
      </c>
      <c r="G79" s="1449">
        <f t="shared" si="3"/>
        <v>0</v>
      </c>
      <c r="H79" s="1449">
        <f t="shared" si="3"/>
        <v>0</v>
      </c>
      <c r="I79" s="1449">
        <f t="shared" si="3"/>
        <v>0</v>
      </c>
      <c r="J79" s="1449">
        <f t="shared" si="3"/>
        <v>0</v>
      </c>
      <c r="K79" s="1450">
        <f t="shared" si="3"/>
        <v>0</v>
      </c>
      <c r="L79" s="378"/>
      <c r="M79" s="378"/>
      <c r="N79" s="378"/>
      <c r="O79" s="379"/>
    </row>
    <row r="80" spans="1:15" outlineLevel="1" x14ac:dyDescent="0.25">
      <c r="A80" s="518"/>
      <c r="O80" s="379"/>
    </row>
    <row r="81" spans="1:17" s="375" customFormat="1" ht="12.75" x14ac:dyDescent="0.2">
      <c r="A81" s="374"/>
      <c r="B81" s="374"/>
      <c r="C81" s="307"/>
      <c r="D81" s="307"/>
      <c r="E81" s="374"/>
      <c r="F81" s="374"/>
      <c r="G81" s="374"/>
      <c r="H81" s="374"/>
      <c r="I81" s="374"/>
      <c r="J81" s="374"/>
      <c r="K81" s="374"/>
      <c r="L81" s="374"/>
      <c r="M81" s="374"/>
      <c r="N81" s="374"/>
      <c r="O81" s="379"/>
    </row>
    <row r="82" spans="1:17" s="375" customFormat="1" ht="13.5" thickBot="1" x14ac:dyDescent="0.25">
      <c r="A82" s="374"/>
      <c r="B82" s="374"/>
      <c r="C82" s="307"/>
      <c r="D82" s="307"/>
      <c r="E82" s="374"/>
      <c r="F82" s="374"/>
      <c r="G82" s="374"/>
      <c r="H82" s="374"/>
      <c r="I82" s="374"/>
      <c r="J82" s="374"/>
      <c r="K82" s="374"/>
      <c r="L82" s="374"/>
      <c r="M82" s="374"/>
      <c r="N82" s="374"/>
      <c r="O82" s="379"/>
    </row>
    <row r="83" spans="1:17" s="306" customFormat="1" ht="30" customHeight="1" thickBot="1" x14ac:dyDescent="0.25">
      <c r="A83" s="435"/>
      <c r="B83" s="84" t="s">
        <v>852</v>
      </c>
      <c r="C83" s="84"/>
      <c r="D83" s="84"/>
      <c r="E83" s="84"/>
      <c r="F83" s="84"/>
      <c r="G83" s="84"/>
      <c r="H83" s="84"/>
      <c r="I83" s="84"/>
      <c r="J83" s="84"/>
      <c r="K83" s="84"/>
      <c r="L83" s="307"/>
      <c r="M83" s="307"/>
      <c r="N83" s="307"/>
      <c r="O83" s="382"/>
    </row>
    <row r="84" spans="1:17" s="375" customFormat="1" ht="31.5" customHeight="1" outlineLevel="2" x14ac:dyDescent="0.25">
      <c r="A84" s="374"/>
      <c r="B84" s="73"/>
      <c r="C84" s="1709" t="s">
        <v>675</v>
      </c>
      <c r="D84" s="1710"/>
      <c r="E84" s="1710"/>
      <c r="F84" s="1710"/>
      <c r="G84" s="1710"/>
      <c r="H84" s="1710"/>
      <c r="I84" s="1710"/>
      <c r="J84" s="1710"/>
      <c r="K84" s="1711"/>
      <c r="L84" s="374"/>
      <c r="M84" s="374"/>
      <c r="N84" s="374"/>
      <c r="O84" s="379"/>
    </row>
    <row r="85" spans="1:17" s="375" customFormat="1" ht="15.75" outlineLevel="2" thickBot="1" x14ac:dyDescent="0.25">
      <c r="A85" s="374"/>
      <c r="B85" s="359" t="s">
        <v>670</v>
      </c>
      <c r="C85" s="594">
        <f ca="1">dms_y1</f>
        <v>2011</v>
      </c>
      <c r="D85" s="595">
        <f ca="1">dms_y2</f>
        <v>2012</v>
      </c>
      <c r="E85" s="595">
        <f ca="1">dms_y3</f>
        <v>2013</v>
      </c>
      <c r="F85" s="595">
        <f ca="1">dms_y4</f>
        <v>2014</v>
      </c>
      <c r="G85" s="596">
        <f ca="1">dms_y5</f>
        <v>2015</v>
      </c>
      <c r="H85" s="591">
        <f ca="1">dms_y6</f>
        <v>2016</v>
      </c>
      <c r="I85" s="592">
        <f ca="1">dms_y7</f>
        <v>2017</v>
      </c>
      <c r="J85" s="592">
        <f ca="1">dms_y8</f>
        <v>2018</v>
      </c>
      <c r="K85" s="593">
        <f ca="1">dms_y9</f>
        <v>2019</v>
      </c>
      <c r="L85" s="374"/>
      <c r="M85" s="374"/>
      <c r="N85" s="374"/>
      <c r="O85" s="379"/>
    </row>
    <row r="86" spans="1:17" s="375" customFormat="1" outlineLevel="2" x14ac:dyDescent="0.25">
      <c r="A86" s="518"/>
      <c r="B86" s="88" t="s">
        <v>671</v>
      </c>
      <c r="C86" s="1451"/>
      <c r="D86" s="1452"/>
      <c r="E86" s="1453"/>
      <c r="F86" s="1452"/>
      <c r="G86" s="1454"/>
      <c r="H86" s="1453"/>
      <c r="I86" s="1453"/>
      <c r="J86" s="1453"/>
      <c r="K86" s="1455"/>
      <c r="L86" s="374"/>
      <c r="M86" s="374"/>
      <c r="N86" s="374"/>
      <c r="O86" s="379"/>
    </row>
    <row r="87" spans="1:17" s="375" customFormat="1" outlineLevel="2" x14ac:dyDescent="0.25">
      <c r="A87" s="518"/>
      <c r="B87" s="88" t="s">
        <v>692</v>
      </c>
      <c r="C87" s="1456"/>
      <c r="D87" s="1457"/>
      <c r="E87" s="1458"/>
      <c r="F87" s="1457"/>
      <c r="G87" s="1458"/>
      <c r="H87" s="1458"/>
      <c r="I87" s="1458"/>
      <c r="J87" s="1458"/>
      <c r="K87" s="1459"/>
      <c r="L87" s="374"/>
      <c r="M87" s="374"/>
      <c r="N87" s="374"/>
      <c r="O87" s="379"/>
    </row>
    <row r="88" spans="1:17" s="375" customFormat="1" outlineLevel="2" x14ac:dyDescent="0.25">
      <c r="A88" s="518"/>
      <c r="B88" s="88" t="s">
        <v>693</v>
      </c>
      <c r="C88" s="1456"/>
      <c r="D88" s="1457"/>
      <c r="E88" s="1458"/>
      <c r="F88" s="1457"/>
      <c r="G88" s="1460"/>
      <c r="H88" s="1458"/>
      <c r="I88" s="1460"/>
      <c r="J88" s="1458"/>
      <c r="K88" s="1526"/>
      <c r="L88" s="374"/>
      <c r="M88" s="374"/>
      <c r="N88" s="374"/>
      <c r="O88" s="379"/>
    </row>
    <row r="89" spans="1:17" s="375" customFormat="1" outlineLevel="2" x14ac:dyDescent="0.25">
      <c r="A89" s="518"/>
      <c r="B89" s="88" t="s">
        <v>672</v>
      </c>
      <c r="C89" s="1456"/>
      <c r="D89" s="1457"/>
      <c r="E89" s="1458"/>
      <c r="F89" s="1457"/>
      <c r="G89" s="1460"/>
      <c r="H89" s="1460"/>
      <c r="I89" s="1460"/>
      <c r="J89" s="1458"/>
      <c r="K89" s="1526"/>
      <c r="L89" s="374"/>
      <c r="M89" s="374"/>
      <c r="N89" s="374"/>
      <c r="O89" s="379"/>
    </row>
    <row r="90" spans="1:17" s="375" customFormat="1" outlineLevel="2" x14ac:dyDescent="0.25">
      <c r="A90" s="518"/>
      <c r="B90" s="88" t="s">
        <v>673</v>
      </c>
      <c r="C90" s="1456"/>
      <c r="D90" s="1457"/>
      <c r="E90" s="1458"/>
      <c r="F90" s="1457"/>
      <c r="G90" s="1460"/>
      <c r="H90" s="1460"/>
      <c r="I90" s="1460"/>
      <c r="J90" s="1460"/>
      <c r="K90" s="1526"/>
      <c r="L90" s="374"/>
      <c r="M90" s="374"/>
      <c r="N90" s="374"/>
      <c r="O90" s="379"/>
    </row>
    <row r="91" spans="1:17" s="375" customFormat="1" outlineLevel="2" x14ac:dyDescent="0.25">
      <c r="A91" s="518"/>
      <c r="B91" s="88" t="s">
        <v>694</v>
      </c>
      <c r="C91" s="1456"/>
      <c r="D91" s="1457"/>
      <c r="E91" s="1458"/>
      <c r="F91" s="1457"/>
      <c r="G91" s="1460"/>
      <c r="H91" s="1460"/>
      <c r="I91" s="1460"/>
      <c r="J91" s="1460"/>
      <c r="K91" s="1526"/>
      <c r="L91" s="374"/>
      <c r="M91" s="374"/>
      <c r="N91" s="374"/>
      <c r="O91" s="379"/>
    </row>
    <row r="92" spans="1:17" s="375" customFormat="1" outlineLevel="2" x14ac:dyDescent="0.25">
      <c r="A92" s="518"/>
      <c r="B92" s="88" t="s">
        <v>695</v>
      </c>
      <c r="C92" s="1456"/>
      <c r="D92" s="1457"/>
      <c r="E92" s="1458"/>
      <c r="F92" s="1457"/>
      <c r="G92" s="1460"/>
      <c r="H92" s="1460"/>
      <c r="I92" s="1460"/>
      <c r="J92" s="1460"/>
      <c r="K92" s="1526"/>
      <c r="L92" s="374"/>
      <c r="M92" s="374"/>
      <c r="N92" s="374"/>
      <c r="O92" s="379"/>
    </row>
    <row r="93" spans="1:17" s="375" customFormat="1" outlineLevel="2" x14ac:dyDescent="0.25">
      <c r="A93" s="374"/>
      <c r="B93" s="88" t="s">
        <v>696</v>
      </c>
      <c r="C93" s="1456"/>
      <c r="D93" s="1457"/>
      <c r="E93" s="1458"/>
      <c r="F93" s="1457"/>
      <c r="G93" s="1460"/>
      <c r="H93" s="1460"/>
      <c r="I93" s="1460"/>
      <c r="J93" s="1460"/>
      <c r="K93" s="1526"/>
      <c r="L93" s="374"/>
      <c r="M93" s="374"/>
      <c r="N93" s="374"/>
      <c r="O93" s="379"/>
    </row>
    <row r="94" spans="1:17" s="375" customFormat="1" ht="15.75" outlineLevel="2" thickBot="1" x14ac:dyDescent="0.3">
      <c r="A94" s="374"/>
      <c r="B94" s="623" t="s">
        <v>697</v>
      </c>
      <c r="C94" s="1461"/>
      <c r="D94" s="1462"/>
      <c r="E94" s="1463"/>
      <c r="F94" s="1462"/>
      <c r="G94" s="1463"/>
      <c r="H94" s="1463"/>
      <c r="I94" s="1463"/>
      <c r="J94" s="1463"/>
      <c r="K94" s="1464"/>
      <c r="L94" s="374"/>
      <c r="M94" s="374"/>
      <c r="N94" s="374"/>
      <c r="O94" s="379"/>
    </row>
    <row r="95" spans="1:17" s="375" customFormat="1" ht="15.75" customHeight="1" x14ac:dyDescent="0.2">
      <c r="A95" s="374"/>
      <c r="B95" s="374"/>
      <c r="C95" s="374"/>
      <c r="D95" s="374"/>
      <c r="E95" s="383"/>
      <c r="F95" s="383"/>
      <c r="G95" s="383"/>
      <c r="H95" s="383"/>
      <c r="I95" s="383"/>
      <c r="J95" s="383"/>
      <c r="K95" s="374"/>
      <c r="L95" s="374"/>
      <c r="M95" s="374"/>
      <c r="N95" s="374"/>
      <c r="O95" s="384"/>
      <c r="P95" s="374"/>
      <c r="Q95" s="374"/>
    </row>
    <row r="96" spans="1:17" ht="15.75" thickBot="1" x14ac:dyDescent="0.3">
      <c r="A96" s="518"/>
      <c r="O96" s="384"/>
    </row>
    <row r="97" spans="1:15" s="436" customFormat="1" ht="30" customHeight="1" thickBot="1" x14ac:dyDescent="0.25">
      <c r="A97" s="435"/>
      <c r="B97" s="84" t="s">
        <v>1202</v>
      </c>
      <c r="C97" s="84"/>
      <c r="D97" s="84"/>
      <c r="E97" s="84"/>
      <c r="F97" s="84"/>
      <c r="G97" s="84"/>
      <c r="H97" s="84"/>
      <c r="I97" s="84"/>
      <c r="J97" s="84"/>
      <c r="K97" s="84"/>
      <c r="L97" s="435"/>
      <c r="M97" s="435"/>
      <c r="N97" s="435"/>
      <c r="O97" s="382"/>
    </row>
    <row r="98" spans="1:15" s="375" customFormat="1" ht="31.5" customHeight="1" outlineLevel="2" x14ac:dyDescent="0.25">
      <c r="A98" s="374"/>
      <c r="B98" s="403"/>
      <c r="C98" s="1709" t="s">
        <v>675</v>
      </c>
      <c r="D98" s="1710"/>
      <c r="E98" s="1710"/>
      <c r="F98" s="1710"/>
      <c r="G98" s="1710"/>
      <c r="H98" s="1710"/>
      <c r="I98" s="1710"/>
      <c r="J98" s="1710"/>
      <c r="K98" s="1711"/>
      <c r="L98" s="374"/>
      <c r="M98" s="374"/>
      <c r="N98" s="374"/>
      <c r="O98" s="379"/>
    </row>
    <row r="99" spans="1:15" s="375" customFormat="1" ht="15.75" outlineLevel="2" thickBot="1" x14ac:dyDescent="0.25">
      <c r="A99" s="374"/>
      <c r="B99" s="359"/>
      <c r="C99" s="594">
        <f ca="1">dms_y1</f>
        <v>2011</v>
      </c>
      <c r="D99" s="595">
        <f ca="1">dms_y2</f>
        <v>2012</v>
      </c>
      <c r="E99" s="595">
        <f ca="1">dms_y3</f>
        <v>2013</v>
      </c>
      <c r="F99" s="595">
        <f ca="1">dms_y4</f>
        <v>2014</v>
      </c>
      <c r="G99" s="596">
        <f ca="1">dms_y5</f>
        <v>2015</v>
      </c>
      <c r="H99" s="591">
        <f ca="1">dms_y6</f>
        <v>2016</v>
      </c>
      <c r="I99" s="592">
        <f ca="1">dms_y7</f>
        <v>2017</v>
      </c>
      <c r="J99" s="592">
        <f ca="1">dms_y8</f>
        <v>2018</v>
      </c>
      <c r="K99" s="593">
        <f ca="1">dms_y9</f>
        <v>2019</v>
      </c>
      <c r="L99" s="374"/>
      <c r="M99" s="374"/>
      <c r="N99" s="374"/>
      <c r="O99" s="379"/>
    </row>
    <row r="100" spans="1:15" s="375" customFormat="1" ht="23.25" customHeight="1" outlineLevel="2" thickBot="1" x14ac:dyDescent="0.3">
      <c r="A100" s="1288"/>
      <c r="B100" s="623" t="s">
        <v>640</v>
      </c>
      <c r="C100" s="1465"/>
      <c r="D100" s="1466"/>
      <c r="E100" s="1467"/>
      <c r="F100" s="1466"/>
      <c r="G100" s="1467"/>
      <c r="H100" s="1467"/>
      <c r="I100" s="1467"/>
      <c r="J100" s="1467"/>
      <c r="K100" s="1468"/>
      <c r="L100" s="374"/>
      <c r="M100" s="374"/>
      <c r="N100" s="374"/>
      <c r="O100" s="379"/>
    </row>
  </sheetData>
  <mergeCells count="18">
    <mergeCell ref="C98:K98"/>
    <mergeCell ref="C52:K52"/>
    <mergeCell ref="C53:K53"/>
    <mergeCell ref="C68:K68"/>
    <mergeCell ref="C69:K69"/>
    <mergeCell ref="C84:K84"/>
    <mergeCell ref="P29:P30"/>
    <mergeCell ref="C7:K7"/>
    <mergeCell ref="L7:L8"/>
    <mergeCell ref="M7:M8"/>
    <mergeCell ref="N7:N8"/>
    <mergeCell ref="O7:O8"/>
    <mergeCell ref="P7:P8"/>
    <mergeCell ref="C29:K29"/>
    <mergeCell ref="L29:L30"/>
    <mergeCell ref="M29:M30"/>
    <mergeCell ref="N29:N30"/>
    <mergeCell ref="O29:O30"/>
  </mergeCells>
  <pageMargins left="0.7" right="0.7" top="0.75" bottom="0.75" header="0.3" footer="0.3"/>
  <pageSetup paperSize="9" orientation="portrait" r:id="rId1"/>
  <customProperties>
    <customPr name="_pios_id" r:id="rId2"/>
    <customPr name="EpmWorksheetKeyString_GUID" r:id="rId3"/>
  </customProperties>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tint="0.59999389629810485"/>
  </sheetPr>
  <dimension ref="A1:L372"/>
  <sheetViews>
    <sheetView showGridLines="0" zoomScale="75" zoomScaleNormal="75" workbookViewId="0">
      <selection activeCell="A2" sqref="A2"/>
    </sheetView>
  </sheetViews>
  <sheetFormatPr defaultColWidth="18.7109375" defaultRowHeight="15" outlineLevelRow="1" x14ac:dyDescent="0.25"/>
  <cols>
    <col min="1" max="1" width="25.7109375" customWidth="1"/>
    <col min="2" max="2" width="71.7109375" style="345" customWidth="1"/>
    <col min="3" max="8" width="18.7109375" style="345" customWidth="1"/>
    <col min="9" max="9" width="18.7109375" style="1294" customWidth="1"/>
    <col min="10" max="11" width="18.7109375" style="345" customWidth="1"/>
    <col min="13" max="13" width="39.42578125" style="345" customWidth="1"/>
    <col min="14" max="16384" width="18.7109375" style="345"/>
  </cols>
  <sheetData>
    <row r="1" spans="1:12" ht="30" customHeight="1" x14ac:dyDescent="0.25">
      <c r="B1" s="103" t="str">
        <f>IF(dms_MultiYear_ResponseFlag="Yes","REGULATORY REPORTING STATEMENT - HISTORICAL INFORMATION",INDEX(dms_Worksheet_List,MATCH(dms_Model,dms_Model_List)))</f>
        <v>REGULATORY REPORTING STATEMENT - HISTORICAL INFORMATION</v>
      </c>
      <c r="C1" s="76"/>
      <c r="D1" s="76"/>
      <c r="E1" s="76"/>
      <c r="F1" s="76"/>
      <c r="G1" s="76"/>
      <c r="H1" s="76"/>
      <c r="I1" s="76"/>
      <c r="J1" s="76"/>
      <c r="K1" s="76"/>
    </row>
    <row r="2" spans="1:12" ht="30" customHeight="1" x14ac:dyDescent="0.25">
      <c r="B2" s="103" t="str">
        <f>INDEX(dms_TradingNameFull_List,MATCH(dms_TradingName,dms_TradingName_List))</f>
        <v>AusNet Gas Services</v>
      </c>
      <c r="C2" s="76"/>
      <c r="D2" s="76"/>
      <c r="E2" s="76"/>
      <c r="F2" s="76"/>
      <c r="G2" s="76"/>
      <c r="H2" s="76"/>
      <c r="I2" s="76"/>
      <c r="J2" s="76"/>
      <c r="K2" s="76"/>
    </row>
    <row r="3" spans="1:12" ht="30" customHeight="1" x14ac:dyDescent="0.25">
      <c r="B3" s="103" t="str">
        <f>CONCATENATE(CRY," to ",dms_MultiYear_FinalYear_Result)</f>
        <v>2011 to 2019</v>
      </c>
      <c r="C3" s="76"/>
      <c r="D3" s="76"/>
      <c r="E3" s="76"/>
      <c r="F3" s="76"/>
      <c r="G3" s="76"/>
      <c r="H3" s="76"/>
      <c r="I3" s="76"/>
      <c r="J3" s="76"/>
      <c r="K3" s="76"/>
    </row>
    <row r="4" spans="1:12" ht="30" customHeight="1" x14ac:dyDescent="0.25">
      <c r="B4" s="83" t="s">
        <v>677</v>
      </c>
      <c r="C4" s="323"/>
      <c r="D4" s="323"/>
      <c r="E4" s="323"/>
      <c r="F4" s="323"/>
      <c r="G4" s="323"/>
      <c r="H4" s="323"/>
      <c r="I4" s="323"/>
      <c r="J4" s="323"/>
      <c r="K4" s="323"/>
    </row>
    <row r="6" spans="1:12" ht="15.75" thickBot="1" x14ac:dyDescent="0.3"/>
    <row r="7" spans="1:12" s="401" customFormat="1" ht="31.5" customHeight="1" thickBot="1" x14ac:dyDescent="0.3">
      <c r="A7"/>
      <c r="B7" s="84" t="s">
        <v>678</v>
      </c>
      <c r="C7" s="84"/>
      <c r="D7" s="84"/>
      <c r="E7" s="84"/>
      <c r="F7" s="84"/>
      <c r="G7" s="84"/>
      <c r="H7" s="84"/>
      <c r="I7" s="84"/>
      <c r="J7" s="84"/>
      <c r="K7" s="84"/>
      <c r="L7"/>
    </row>
    <row r="8" spans="1:12" s="402" customFormat="1" ht="36.75" customHeight="1" x14ac:dyDescent="0.25">
      <c r="A8"/>
      <c r="B8" s="345"/>
      <c r="C8" s="1712" t="s">
        <v>679</v>
      </c>
      <c r="D8" s="1712"/>
      <c r="E8" s="1712"/>
      <c r="F8" s="1712"/>
      <c r="G8" s="1712"/>
      <c r="H8" s="1712"/>
      <c r="I8" s="1712"/>
      <c r="J8" s="1712"/>
      <c r="K8" s="1712"/>
      <c r="L8"/>
    </row>
    <row r="9" spans="1:12" s="401" customFormat="1" ht="15.75" thickBot="1" x14ac:dyDescent="0.3">
      <c r="A9"/>
      <c r="B9" s="345"/>
      <c r="C9" s="444">
        <f ca="1">dms_y1</f>
        <v>2011</v>
      </c>
      <c r="D9" s="445">
        <f ca="1">dms_y2</f>
        <v>2012</v>
      </c>
      <c r="E9" s="445">
        <f ca="1">dms_y3</f>
        <v>2013</v>
      </c>
      <c r="F9" s="445">
        <f ca="1">dms_y4</f>
        <v>2014</v>
      </c>
      <c r="G9" s="445">
        <f ca="1">dms_y5</f>
        <v>2015</v>
      </c>
      <c r="H9" s="1318">
        <f ca="1">dms_y6</f>
        <v>2016</v>
      </c>
      <c r="I9" s="1318">
        <f ca="1">dms_y7</f>
        <v>2017</v>
      </c>
      <c r="J9" s="1318">
        <f ca="1">dms_y8</f>
        <v>2018</v>
      </c>
      <c r="K9" s="1318">
        <f ca="1">dms_y9</f>
        <v>2019</v>
      </c>
      <c r="L9"/>
    </row>
    <row r="10" spans="1:12" s="401" customFormat="1" ht="20.100000000000001" customHeight="1" x14ac:dyDescent="0.25">
      <c r="A10"/>
      <c r="B10" s="649" t="s">
        <v>1350</v>
      </c>
      <c r="C10" s="403"/>
      <c r="D10" s="403"/>
      <c r="E10" s="403"/>
      <c r="F10" s="403"/>
      <c r="G10" s="403"/>
      <c r="H10" s="403"/>
      <c r="I10" s="403"/>
      <c r="J10" s="403"/>
      <c r="K10" s="403"/>
      <c r="L10"/>
    </row>
    <row r="11" spans="1:12" s="401" customFormat="1" ht="38.25" outlineLevel="1" x14ac:dyDescent="0.25">
      <c r="A11"/>
      <c r="B11" s="431" t="s">
        <v>1307</v>
      </c>
      <c r="C11" s="405"/>
      <c r="D11" s="405"/>
      <c r="E11" s="405"/>
      <c r="F11" s="405"/>
      <c r="G11" s="405"/>
      <c r="H11" s="405"/>
      <c r="I11" s="405"/>
      <c r="J11" s="405"/>
      <c r="K11" s="405"/>
      <c r="L11"/>
    </row>
    <row r="12" spans="1:12" s="401" customFormat="1" outlineLevel="1" x14ac:dyDescent="0.25">
      <c r="A12"/>
      <c r="B12" s="406" t="s">
        <v>682</v>
      </c>
      <c r="C12" s="1518"/>
      <c r="D12" s="1519"/>
      <c r="E12" s="1519"/>
      <c r="F12" s="1519"/>
      <c r="G12" s="1519"/>
      <c r="H12" s="1519"/>
      <c r="I12" s="1519"/>
      <c r="J12" s="1519"/>
      <c r="K12" s="1520"/>
      <c r="L12"/>
    </row>
    <row r="13" spans="1:12" s="401" customFormat="1" outlineLevel="1" x14ac:dyDescent="0.25">
      <c r="A13"/>
      <c r="B13" s="410" t="s">
        <v>683</v>
      </c>
      <c r="C13" s="411"/>
      <c r="D13" s="411"/>
      <c r="E13" s="411"/>
      <c r="F13" s="411"/>
      <c r="G13" s="411"/>
      <c r="H13" s="411"/>
      <c r="I13" s="411"/>
      <c r="J13" s="411"/>
      <c r="K13" s="411"/>
      <c r="L13"/>
    </row>
    <row r="14" spans="1:12" s="401" customFormat="1" outlineLevel="1" x14ac:dyDescent="0.25">
      <c r="A14"/>
      <c r="B14" s="412" t="s">
        <v>684</v>
      </c>
      <c r="C14" s="413">
        <v>1353.2039211254528</v>
      </c>
      <c r="D14" s="414">
        <v>0</v>
      </c>
      <c r="E14" s="414">
        <v>418.66187187229554</v>
      </c>
      <c r="F14" s="414">
        <v>0</v>
      </c>
      <c r="G14" s="414">
        <v>0</v>
      </c>
      <c r="H14" s="414">
        <v>27004.200000000004</v>
      </c>
      <c r="I14" s="414">
        <v>30233.799999999996</v>
      </c>
      <c r="J14" s="414">
        <v>69056.600000000006</v>
      </c>
      <c r="K14" s="1407">
        <v>3830.1899999999878</v>
      </c>
      <c r="L14"/>
    </row>
    <row r="15" spans="1:12" s="401" customFormat="1" outlineLevel="1" x14ac:dyDescent="0.25">
      <c r="A15"/>
      <c r="B15" s="412" t="s">
        <v>685</v>
      </c>
      <c r="C15" s="416">
        <v>0</v>
      </c>
      <c r="D15" s="417">
        <v>0</v>
      </c>
      <c r="E15" s="417">
        <v>0</v>
      </c>
      <c r="F15" s="417">
        <v>0</v>
      </c>
      <c r="G15" s="417">
        <v>0</v>
      </c>
      <c r="H15" s="417">
        <v>0</v>
      </c>
      <c r="I15" s="417">
        <v>0</v>
      </c>
      <c r="J15" s="417">
        <v>0</v>
      </c>
      <c r="K15" s="1408"/>
      <c r="L15"/>
    </row>
    <row r="16" spans="1:12" s="401" customFormat="1" outlineLevel="1" x14ac:dyDescent="0.25">
      <c r="A16"/>
      <c r="B16" s="412" t="s">
        <v>686</v>
      </c>
      <c r="C16" s="419">
        <v>0</v>
      </c>
      <c r="D16" s="420">
        <v>0</v>
      </c>
      <c r="E16" s="420">
        <v>0</v>
      </c>
      <c r="F16" s="420">
        <v>0</v>
      </c>
      <c r="G16" s="420">
        <v>0</v>
      </c>
      <c r="H16" s="420">
        <v>0</v>
      </c>
      <c r="I16" s="420">
        <v>0</v>
      </c>
      <c r="J16" s="420">
        <v>0</v>
      </c>
      <c r="K16" s="421"/>
      <c r="L16"/>
    </row>
    <row r="17" spans="1:12" s="401" customFormat="1" outlineLevel="1" x14ac:dyDescent="0.25">
      <c r="A17"/>
      <c r="B17" s="410" t="s">
        <v>687</v>
      </c>
      <c r="C17" s="411"/>
      <c r="D17" s="411"/>
      <c r="E17" s="411"/>
      <c r="F17" s="411"/>
      <c r="G17" s="411"/>
      <c r="H17" s="411"/>
      <c r="I17" s="411"/>
      <c r="J17" s="411"/>
      <c r="K17" s="411"/>
      <c r="L17"/>
    </row>
    <row r="18" spans="1:12" s="401" customFormat="1" outlineLevel="1" x14ac:dyDescent="0.25">
      <c r="A18"/>
      <c r="B18" s="412" t="s">
        <v>684</v>
      </c>
      <c r="C18" s="413">
        <v>-881.8661564630828</v>
      </c>
      <c r="D18" s="414">
        <v>-2238.0615181225244</v>
      </c>
      <c r="E18" s="414">
        <v>0</v>
      </c>
      <c r="F18" s="414">
        <v>-320.62487067981675</v>
      </c>
      <c r="G18" s="414">
        <v>0</v>
      </c>
      <c r="H18" s="414">
        <v>0</v>
      </c>
      <c r="I18" s="414">
        <v>0</v>
      </c>
      <c r="J18" s="414">
        <v>0</v>
      </c>
      <c r="K18" s="1407">
        <v>0</v>
      </c>
      <c r="L18"/>
    </row>
    <row r="19" spans="1:12" s="401" customFormat="1" outlineLevel="1" x14ac:dyDescent="0.25">
      <c r="A19"/>
      <c r="B19" s="412" t="s">
        <v>685</v>
      </c>
      <c r="C19" s="416">
        <v>0</v>
      </c>
      <c r="D19" s="417">
        <v>0</v>
      </c>
      <c r="E19" s="417">
        <v>0</v>
      </c>
      <c r="F19" s="417">
        <v>0</v>
      </c>
      <c r="G19" s="417">
        <v>0</v>
      </c>
      <c r="H19" s="417">
        <v>0</v>
      </c>
      <c r="I19" s="417">
        <v>0</v>
      </c>
      <c r="J19" s="417">
        <v>0</v>
      </c>
      <c r="K19" s="1408">
        <v>0</v>
      </c>
      <c r="L19"/>
    </row>
    <row r="20" spans="1:12" s="401" customFormat="1" outlineLevel="1" x14ac:dyDescent="0.25">
      <c r="A20"/>
      <c r="B20" s="412" t="s">
        <v>686</v>
      </c>
      <c r="C20" s="419">
        <v>0</v>
      </c>
      <c r="D20" s="420">
        <v>0</v>
      </c>
      <c r="E20" s="420">
        <v>0</v>
      </c>
      <c r="F20" s="420">
        <v>0</v>
      </c>
      <c r="G20" s="420">
        <v>0</v>
      </c>
      <c r="H20" s="420">
        <v>0</v>
      </c>
      <c r="I20" s="420">
        <v>0</v>
      </c>
      <c r="J20" s="420">
        <v>0</v>
      </c>
      <c r="K20" s="421"/>
      <c r="L20"/>
    </row>
    <row r="21" spans="1:12" s="401" customFormat="1" outlineLevel="1" x14ac:dyDescent="0.25">
      <c r="A21"/>
      <c r="B21" s="410" t="s">
        <v>688</v>
      </c>
      <c r="C21" s="411"/>
      <c r="D21" s="411"/>
      <c r="E21" s="411"/>
      <c r="F21" s="411"/>
      <c r="G21" s="411"/>
      <c r="H21" s="411"/>
      <c r="I21" s="411"/>
      <c r="J21" s="411"/>
      <c r="K21" s="411"/>
      <c r="L21"/>
    </row>
    <row r="22" spans="1:12" s="401" customFormat="1" outlineLevel="1" x14ac:dyDescent="0.25">
      <c r="A22"/>
      <c r="B22" s="412" t="s">
        <v>684</v>
      </c>
      <c r="C22" s="413">
        <v>0</v>
      </c>
      <c r="D22" s="414">
        <v>0</v>
      </c>
      <c r="E22" s="414">
        <v>0</v>
      </c>
      <c r="F22" s="414">
        <v>0</v>
      </c>
      <c r="G22" s="414">
        <v>0</v>
      </c>
      <c r="H22" s="414">
        <v>0</v>
      </c>
      <c r="I22" s="414">
        <v>0</v>
      </c>
      <c r="J22" s="414">
        <v>-721.90204364709848</v>
      </c>
      <c r="K22" s="1407">
        <v>0</v>
      </c>
      <c r="L22"/>
    </row>
    <row r="23" spans="1:12" s="401" customFormat="1" outlineLevel="1" x14ac:dyDescent="0.25">
      <c r="A23"/>
      <c r="B23" s="412" t="s">
        <v>685</v>
      </c>
      <c r="C23" s="416">
        <v>0</v>
      </c>
      <c r="D23" s="417">
        <v>0</v>
      </c>
      <c r="E23" s="417">
        <v>0</v>
      </c>
      <c r="F23" s="417">
        <v>0</v>
      </c>
      <c r="G23" s="417">
        <v>0</v>
      </c>
      <c r="H23" s="417">
        <v>0</v>
      </c>
      <c r="I23" s="417">
        <v>0</v>
      </c>
      <c r="J23" s="417">
        <v>0</v>
      </c>
      <c r="K23" s="1408">
        <v>0</v>
      </c>
      <c r="L23"/>
    </row>
    <row r="24" spans="1:12" s="401" customFormat="1" outlineLevel="1" x14ac:dyDescent="0.25">
      <c r="A24"/>
      <c r="B24" s="412" t="s">
        <v>686</v>
      </c>
      <c r="C24" s="419">
        <v>0</v>
      </c>
      <c r="D24" s="420">
        <v>0</v>
      </c>
      <c r="E24" s="420">
        <v>0</v>
      </c>
      <c r="F24" s="420">
        <v>0</v>
      </c>
      <c r="G24" s="420">
        <v>0</v>
      </c>
      <c r="H24" s="420">
        <v>0</v>
      </c>
      <c r="I24" s="420">
        <v>0</v>
      </c>
      <c r="J24" s="420">
        <v>0</v>
      </c>
      <c r="K24" s="421">
        <v>0</v>
      </c>
      <c r="L24"/>
    </row>
    <row r="25" spans="1:12" s="401" customFormat="1" outlineLevel="1" x14ac:dyDescent="0.25">
      <c r="A25"/>
      <c r="B25" s="410" t="s">
        <v>689</v>
      </c>
      <c r="C25" s="411"/>
      <c r="D25" s="411"/>
      <c r="E25" s="411"/>
      <c r="F25" s="411"/>
      <c r="G25" s="411"/>
      <c r="H25" s="411"/>
      <c r="I25" s="411"/>
      <c r="J25" s="411"/>
      <c r="K25" s="411"/>
      <c r="L25"/>
    </row>
    <row r="26" spans="1:12" s="401" customFormat="1" outlineLevel="1" x14ac:dyDescent="0.25">
      <c r="A26"/>
      <c r="B26" s="412" t="s">
        <v>684</v>
      </c>
      <c r="C26" s="413">
        <v>0</v>
      </c>
      <c r="D26" s="414">
        <v>0</v>
      </c>
      <c r="E26" s="414">
        <v>0.41866187187229553</v>
      </c>
      <c r="F26" s="414">
        <v>0</v>
      </c>
      <c r="G26" s="414">
        <v>0</v>
      </c>
      <c r="H26" s="414">
        <v>0</v>
      </c>
      <c r="I26" s="414">
        <v>0</v>
      </c>
      <c r="J26" s="414">
        <v>0</v>
      </c>
      <c r="K26" s="415">
        <v>0</v>
      </c>
      <c r="L26"/>
    </row>
    <row r="27" spans="1:12" s="401" customFormat="1" outlineLevel="1" x14ac:dyDescent="0.25">
      <c r="A27"/>
      <c r="B27" s="412" t="s">
        <v>685</v>
      </c>
      <c r="C27" s="416">
        <v>0</v>
      </c>
      <c r="D27" s="417">
        <v>0</v>
      </c>
      <c r="E27" s="417">
        <v>0</v>
      </c>
      <c r="F27" s="417">
        <v>0</v>
      </c>
      <c r="G27" s="417">
        <v>0</v>
      </c>
      <c r="H27" s="417">
        <v>0</v>
      </c>
      <c r="I27" s="417">
        <v>0</v>
      </c>
      <c r="J27" s="417">
        <v>0</v>
      </c>
      <c r="K27" s="418">
        <v>0</v>
      </c>
      <c r="L27"/>
    </row>
    <row r="28" spans="1:12" s="401" customFormat="1" outlineLevel="1" x14ac:dyDescent="0.25">
      <c r="A28"/>
      <c r="B28" s="412" t="s">
        <v>686</v>
      </c>
      <c r="C28" s="416">
        <v>0</v>
      </c>
      <c r="D28" s="417">
        <v>0</v>
      </c>
      <c r="E28" s="417">
        <v>0</v>
      </c>
      <c r="F28" s="417">
        <v>0</v>
      </c>
      <c r="G28" s="417">
        <v>0</v>
      </c>
      <c r="H28" s="417">
        <v>0</v>
      </c>
      <c r="I28" s="417">
        <v>0</v>
      </c>
      <c r="J28" s="417">
        <v>0</v>
      </c>
      <c r="K28" s="418">
        <v>0</v>
      </c>
      <c r="L28"/>
    </row>
    <row r="29" spans="1:12" s="401" customFormat="1" ht="22.5" customHeight="1" outlineLevel="1" thickBot="1" x14ac:dyDescent="0.3">
      <c r="A29"/>
      <c r="B29" s="422" t="s">
        <v>690</v>
      </c>
      <c r="C29" s="1521"/>
      <c r="D29" s="1522"/>
      <c r="E29" s="1522"/>
      <c r="F29" s="1522"/>
      <c r="G29" s="1522"/>
      <c r="H29" s="1522"/>
      <c r="I29" s="1522"/>
      <c r="J29" s="1522"/>
      <c r="K29" s="1523"/>
      <c r="L29"/>
    </row>
    <row r="30" spans="1:12" s="521" customFormat="1" ht="20.100000000000001" customHeight="1" x14ac:dyDescent="0.25">
      <c r="A30"/>
      <c r="B30" s="649" t="s">
        <v>1305</v>
      </c>
      <c r="C30" s="403"/>
      <c r="D30" s="403"/>
      <c r="E30" s="403"/>
      <c r="F30" s="403"/>
      <c r="G30" s="403"/>
      <c r="H30" s="403"/>
      <c r="I30" s="403"/>
      <c r="J30" s="403"/>
      <c r="K30" s="403"/>
      <c r="L30"/>
    </row>
    <row r="31" spans="1:12" s="401" customFormat="1" ht="51" outlineLevel="1" x14ac:dyDescent="0.25">
      <c r="A31"/>
      <c r="B31" s="431" t="s">
        <v>1306</v>
      </c>
      <c r="C31" s="405"/>
      <c r="D31" s="405"/>
      <c r="E31" s="405"/>
      <c r="F31" s="405"/>
      <c r="G31" s="405"/>
      <c r="H31" s="405"/>
      <c r="I31" s="405"/>
      <c r="J31" s="405"/>
      <c r="K31" s="405"/>
      <c r="L31"/>
    </row>
    <row r="32" spans="1:12" s="401" customFormat="1" outlineLevel="1" x14ac:dyDescent="0.25">
      <c r="A32"/>
      <c r="B32" s="406" t="s">
        <v>682</v>
      </c>
      <c r="C32" s="1518"/>
      <c r="D32" s="1519"/>
      <c r="E32" s="1519"/>
      <c r="F32" s="1519"/>
      <c r="G32" s="1519"/>
      <c r="H32" s="1519"/>
      <c r="I32" s="1519"/>
      <c r="J32" s="1519"/>
      <c r="K32" s="1520"/>
      <c r="L32"/>
    </row>
    <row r="33" spans="1:12" s="401" customFormat="1" outlineLevel="1" x14ac:dyDescent="0.25">
      <c r="A33"/>
      <c r="B33" s="410" t="s">
        <v>683</v>
      </c>
      <c r="C33" s="411"/>
      <c r="D33" s="411"/>
      <c r="E33" s="411"/>
      <c r="F33" s="411"/>
      <c r="G33" s="411"/>
      <c r="H33" s="411"/>
      <c r="I33" s="411"/>
      <c r="J33" s="411"/>
      <c r="K33" s="411"/>
      <c r="L33"/>
    </row>
    <row r="34" spans="1:12" s="401" customFormat="1" outlineLevel="1" x14ac:dyDescent="0.25">
      <c r="A34"/>
      <c r="B34" s="412" t="s">
        <v>684</v>
      </c>
      <c r="C34" s="413">
        <v>1989867.8735987232</v>
      </c>
      <c r="D34" s="414">
        <v>1620827.2465524874</v>
      </c>
      <c r="E34" s="414">
        <v>2954023.0604041624</v>
      </c>
      <c r="F34" s="414">
        <v>2740179.8318362911</v>
      </c>
      <c r="G34" s="414">
        <v>3647324.264655408</v>
      </c>
      <c r="H34" s="414">
        <v>880261.99123804492</v>
      </c>
      <c r="I34" s="414">
        <v>479073.98062142223</v>
      </c>
      <c r="J34" s="414">
        <v>366755.67792648001</v>
      </c>
      <c r="K34" s="1407">
        <v>200712.05503870785</v>
      </c>
      <c r="L34"/>
    </row>
    <row r="35" spans="1:12" s="401" customFormat="1" outlineLevel="1" x14ac:dyDescent="0.25">
      <c r="A35"/>
      <c r="B35" s="412" t="s">
        <v>685</v>
      </c>
      <c r="C35" s="416">
        <v>102020.28608077491</v>
      </c>
      <c r="D35" s="417">
        <v>103621.21424751233</v>
      </c>
      <c r="E35" s="417">
        <v>204511.15359583718</v>
      </c>
      <c r="F35" s="417">
        <v>112942.24131254629</v>
      </c>
      <c r="G35" s="417">
        <v>91056.890855055113</v>
      </c>
      <c r="H35" s="417">
        <v>331677.26876195759</v>
      </c>
      <c r="I35" s="417">
        <v>126989.36937857837</v>
      </c>
      <c r="J35" s="417">
        <v>122115.297854754</v>
      </c>
      <c r="K35" s="1408">
        <v>38813.51496129216</v>
      </c>
      <c r="L35"/>
    </row>
    <row r="36" spans="1:12" s="401" customFormat="1" outlineLevel="1" x14ac:dyDescent="0.25">
      <c r="A36"/>
      <c r="B36" s="412" t="s">
        <v>686</v>
      </c>
      <c r="C36" s="419">
        <v>0</v>
      </c>
      <c r="D36" s="420">
        <v>0</v>
      </c>
      <c r="E36" s="420">
        <v>0</v>
      </c>
      <c r="F36" s="420">
        <v>349656.82983892079</v>
      </c>
      <c r="G36" s="420">
        <v>0</v>
      </c>
      <c r="H36" s="420"/>
      <c r="I36" s="420">
        <v>0</v>
      </c>
      <c r="J36" s="420">
        <v>0</v>
      </c>
      <c r="K36" s="1409"/>
      <c r="L36"/>
    </row>
    <row r="37" spans="1:12" s="401" customFormat="1" outlineLevel="1" x14ac:dyDescent="0.25">
      <c r="A37"/>
      <c r="B37" s="410" t="s">
        <v>687</v>
      </c>
      <c r="C37" s="411"/>
      <c r="D37" s="411"/>
      <c r="E37" s="411"/>
      <c r="F37" s="411"/>
      <c r="G37" s="411"/>
      <c r="H37" s="411"/>
      <c r="I37" s="411"/>
      <c r="J37" s="411"/>
      <c r="K37" s="411"/>
      <c r="L37"/>
    </row>
    <row r="38" spans="1:12" s="401" customFormat="1" outlineLevel="1" x14ac:dyDescent="0.25">
      <c r="A38"/>
      <c r="B38" s="412" t="s">
        <v>684</v>
      </c>
      <c r="C38" s="413">
        <v>-1197618.6179053539</v>
      </c>
      <c r="D38" s="414">
        <v>-1058871.1697843154</v>
      </c>
      <c r="E38" s="414">
        <v>-2526593.3040538081</v>
      </c>
      <c r="F38" s="414">
        <v>-2558026.1716929721</v>
      </c>
      <c r="G38" s="414">
        <v>-774650.9092926553</v>
      </c>
      <c r="H38" s="414">
        <v>-780740.18260874867</v>
      </c>
      <c r="I38" s="414">
        <v>-1515211.1518483541</v>
      </c>
      <c r="J38" s="414">
        <v>-550933.52693905949</v>
      </c>
      <c r="K38" s="1407">
        <v>-265195.01817626669</v>
      </c>
      <c r="L38"/>
    </row>
    <row r="39" spans="1:12" s="401" customFormat="1" outlineLevel="1" x14ac:dyDescent="0.25">
      <c r="A39"/>
      <c r="B39" s="412" t="s">
        <v>685</v>
      </c>
      <c r="C39" s="416">
        <v>-61401.76221519598</v>
      </c>
      <c r="D39" s="417">
        <v>-67694.763015684177</v>
      </c>
      <c r="E39" s="417">
        <v>-174919.59294619254</v>
      </c>
      <c r="F39" s="417">
        <v>-105434.39733791062</v>
      </c>
      <c r="G39" s="417">
        <v>-23144.42310372572</v>
      </c>
      <c r="H39" s="417">
        <v>-294178.06739125028</v>
      </c>
      <c r="I39" s="417">
        <v>-401640.9081516455</v>
      </c>
      <c r="J39" s="417">
        <v>-183439.31884217434</v>
      </c>
      <c r="K39" s="1408">
        <v>-51283.171823733319</v>
      </c>
      <c r="L39"/>
    </row>
    <row r="40" spans="1:12" s="401" customFormat="1" outlineLevel="1" x14ac:dyDescent="0.25">
      <c r="A40"/>
      <c r="B40" s="412" t="s">
        <v>686</v>
      </c>
      <c r="C40" s="419">
        <v>0</v>
      </c>
      <c r="D40" s="420">
        <v>0</v>
      </c>
      <c r="E40" s="420">
        <v>0</v>
      </c>
      <c r="F40" s="420">
        <v>0</v>
      </c>
      <c r="G40" s="420">
        <v>0</v>
      </c>
      <c r="H40" s="420">
        <v>-133993.09000000003</v>
      </c>
      <c r="I40" s="420">
        <v>0</v>
      </c>
      <c r="J40" s="420">
        <v>0</v>
      </c>
      <c r="K40" s="1409">
        <v>0</v>
      </c>
      <c r="L40"/>
    </row>
    <row r="41" spans="1:12" s="401" customFormat="1" outlineLevel="1" x14ac:dyDescent="0.25">
      <c r="A41"/>
      <c r="B41" s="410" t="s">
        <v>688</v>
      </c>
      <c r="C41" s="411"/>
      <c r="D41" s="411"/>
      <c r="E41" s="411"/>
      <c r="F41" s="411"/>
      <c r="G41" s="411"/>
      <c r="H41" s="411"/>
      <c r="I41" s="411"/>
      <c r="J41" s="411"/>
      <c r="K41" s="411"/>
      <c r="L41"/>
    </row>
    <row r="42" spans="1:12" s="401" customFormat="1" outlineLevel="1" x14ac:dyDescent="0.25">
      <c r="A42"/>
      <c r="B42" s="412" t="s">
        <v>684</v>
      </c>
      <c r="C42" s="413">
        <v>0</v>
      </c>
      <c r="D42" s="414">
        <v>0</v>
      </c>
      <c r="E42" s="414">
        <v>0</v>
      </c>
      <c r="F42" s="414">
        <v>0</v>
      </c>
      <c r="G42" s="414">
        <v>0</v>
      </c>
      <c r="H42" s="414">
        <v>0</v>
      </c>
      <c r="I42" s="414">
        <v>0</v>
      </c>
      <c r="J42" s="414">
        <v>-7301532.459559422</v>
      </c>
      <c r="K42" s="1407">
        <v>0</v>
      </c>
      <c r="L42"/>
    </row>
    <row r="43" spans="1:12" s="401" customFormat="1" outlineLevel="1" x14ac:dyDescent="0.25">
      <c r="A43"/>
      <c r="B43" s="412" t="s">
        <v>685</v>
      </c>
      <c r="C43" s="416">
        <v>0</v>
      </c>
      <c r="D43" s="417">
        <v>0</v>
      </c>
      <c r="E43" s="417">
        <v>0</v>
      </c>
      <c r="F43" s="417">
        <v>0</v>
      </c>
      <c r="G43" s="417">
        <v>0</v>
      </c>
      <c r="H43" s="417">
        <v>0</v>
      </c>
      <c r="I43" s="417">
        <v>0</v>
      </c>
      <c r="J43" s="417">
        <v>-2431124.7644105717</v>
      </c>
      <c r="K43" s="1408"/>
      <c r="L43"/>
    </row>
    <row r="44" spans="1:12" s="401" customFormat="1" outlineLevel="1" x14ac:dyDescent="0.25">
      <c r="A44"/>
      <c r="B44" s="412" t="s">
        <v>686</v>
      </c>
      <c r="C44" s="419">
        <v>0</v>
      </c>
      <c r="D44" s="420">
        <v>0</v>
      </c>
      <c r="E44" s="420">
        <v>0</v>
      </c>
      <c r="F44" s="420">
        <v>0</v>
      </c>
      <c r="G44" s="420">
        <v>0</v>
      </c>
      <c r="H44" s="420">
        <v>0</v>
      </c>
      <c r="I44" s="420">
        <v>0</v>
      </c>
      <c r="J44" s="420">
        <v>0</v>
      </c>
      <c r="K44" s="1409">
        <v>-40477.93</v>
      </c>
      <c r="L44"/>
    </row>
    <row r="45" spans="1:12" s="401" customFormat="1" outlineLevel="1" x14ac:dyDescent="0.25">
      <c r="A45"/>
      <c r="B45" s="410" t="s">
        <v>689</v>
      </c>
      <c r="C45" s="411"/>
      <c r="D45" s="411"/>
      <c r="E45" s="411"/>
      <c r="F45" s="411"/>
      <c r="G45" s="411"/>
      <c r="H45" s="411"/>
      <c r="I45" s="411"/>
      <c r="J45" s="411"/>
      <c r="K45" s="411"/>
      <c r="L45"/>
    </row>
    <row r="46" spans="1:12" s="401" customFormat="1" outlineLevel="1" x14ac:dyDescent="0.25">
      <c r="A46"/>
      <c r="B46" s="412" t="s">
        <v>684</v>
      </c>
      <c r="C46" s="413">
        <v>0</v>
      </c>
      <c r="D46" s="414">
        <v>0</v>
      </c>
      <c r="E46" s="414">
        <v>0</v>
      </c>
      <c r="F46" s="414">
        <v>0</v>
      </c>
      <c r="G46" s="414">
        <v>0</v>
      </c>
      <c r="H46" s="414">
        <v>0</v>
      </c>
      <c r="I46" s="414">
        <v>0</v>
      </c>
      <c r="J46" s="414">
        <v>0</v>
      </c>
      <c r="K46" s="1407">
        <v>0</v>
      </c>
      <c r="L46"/>
    </row>
    <row r="47" spans="1:12" s="401" customFormat="1" outlineLevel="1" x14ac:dyDescent="0.25">
      <c r="A47"/>
      <c r="B47" s="412" t="s">
        <v>685</v>
      </c>
      <c r="C47" s="416">
        <v>0</v>
      </c>
      <c r="D47" s="417">
        <v>0</v>
      </c>
      <c r="E47" s="417">
        <v>0</v>
      </c>
      <c r="F47" s="417">
        <v>0</v>
      </c>
      <c r="G47" s="417">
        <v>0</v>
      </c>
      <c r="H47" s="417">
        <v>0</v>
      </c>
      <c r="I47" s="417">
        <v>0</v>
      </c>
      <c r="J47" s="417">
        <v>0</v>
      </c>
      <c r="K47" s="1408">
        <v>0</v>
      </c>
      <c r="L47"/>
    </row>
    <row r="48" spans="1:12" s="401" customFormat="1" outlineLevel="1" x14ac:dyDescent="0.25">
      <c r="A48"/>
      <c r="B48" s="412" t="s">
        <v>686</v>
      </c>
      <c r="C48" s="416">
        <v>0</v>
      </c>
      <c r="D48" s="417">
        <v>0</v>
      </c>
      <c r="E48" s="417">
        <v>0</v>
      </c>
      <c r="F48" s="417">
        <v>0</v>
      </c>
      <c r="G48" s="417">
        <v>0</v>
      </c>
      <c r="H48" s="417">
        <v>0</v>
      </c>
      <c r="I48" s="417">
        <v>0</v>
      </c>
      <c r="J48" s="417">
        <v>0</v>
      </c>
      <c r="K48" s="1408">
        <v>0</v>
      </c>
      <c r="L48"/>
    </row>
    <row r="49" spans="1:12" s="401" customFormat="1" ht="22.5" customHeight="1" outlineLevel="1" thickBot="1" x14ac:dyDescent="0.3">
      <c r="A49"/>
      <c r="B49" s="422" t="s">
        <v>690</v>
      </c>
      <c r="C49" s="1521"/>
      <c r="D49" s="1522"/>
      <c r="E49" s="1522"/>
      <c r="F49" s="1522"/>
      <c r="G49" s="1522"/>
      <c r="H49" s="1522"/>
      <c r="I49" s="1522"/>
      <c r="J49" s="1522"/>
      <c r="K49" s="1524"/>
      <c r="L49"/>
    </row>
    <row r="50" spans="1:12" s="521" customFormat="1" ht="20.100000000000001" customHeight="1" x14ac:dyDescent="0.25">
      <c r="A50"/>
      <c r="B50" s="649" t="s">
        <v>1308</v>
      </c>
      <c r="C50" s="403"/>
      <c r="D50" s="403"/>
      <c r="E50" s="403"/>
      <c r="F50" s="403"/>
      <c r="G50" s="403"/>
      <c r="H50" s="403"/>
      <c r="I50" s="403"/>
      <c r="J50" s="403"/>
      <c r="K50" s="403"/>
      <c r="L50"/>
    </row>
    <row r="51" spans="1:12" s="401" customFormat="1" ht="38.25" outlineLevel="1" x14ac:dyDescent="0.25">
      <c r="A51"/>
      <c r="B51" s="431" t="s">
        <v>1309</v>
      </c>
      <c r="C51" s="405"/>
      <c r="D51" s="405"/>
      <c r="E51" s="405"/>
      <c r="F51" s="405"/>
      <c r="G51" s="405"/>
      <c r="H51" s="405"/>
      <c r="I51" s="405"/>
      <c r="J51" s="405"/>
      <c r="K51" s="405"/>
      <c r="L51"/>
    </row>
    <row r="52" spans="1:12" s="401" customFormat="1" outlineLevel="1" x14ac:dyDescent="0.25">
      <c r="A52"/>
      <c r="B52" s="406" t="s">
        <v>682</v>
      </c>
      <c r="C52" s="1518"/>
      <c r="D52" s="1519"/>
      <c r="E52" s="1519"/>
      <c r="F52" s="1519"/>
      <c r="G52" s="1519"/>
      <c r="H52" s="1519"/>
      <c r="I52" s="1519"/>
      <c r="J52" s="1519"/>
      <c r="K52" s="1525"/>
      <c r="L52"/>
    </row>
    <row r="53" spans="1:12" s="401" customFormat="1" outlineLevel="1" x14ac:dyDescent="0.25">
      <c r="A53"/>
      <c r="B53" s="410" t="s">
        <v>683</v>
      </c>
      <c r="C53" s="411"/>
      <c r="D53" s="411"/>
      <c r="E53" s="411"/>
      <c r="F53" s="411"/>
      <c r="G53" s="411"/>
      <c r="H53" s="411"/>
      <c r="I53" s="411"/>
      <c r="J53" s="411"/>
      <c r="K53" s="411"/>
      <c r="L53"/>
    </row>
    <row r="54" spans="1:12" s="401" customFormat="1" outlineLevel="1" x14ac:dyDescent="0.25">
      <c r="A54"/>
      <c r="B54" s="412" t="s">
        <v>684</v>
      </c>
      <c r="C54" s="413">
        <v>739831.18218</v>
      </c>
      <c r="D54" s="414">
        <v>0</v>
      </c>
      <c r="E54" s="414">
        <v>0</v>
      </c>
      <c r="F54" s="414">
        <v>472346.09317999991</v>
      </c>
      <c r="G54" s="414">
        <v>3216.5720499999998</v>
      </c>
      <c r="H54" s="414">
        <v>0</v>
      </c>
      <c r="I54" s="414">
        <v>0</v>
      </c>
      <c r="J54" s="414">
        <v>0</v>
      </c>
      <c r="K54" s="1407">
        <v>0</v>
      </c>
      <c r="L54"/>
    </row>
    <row r="55" spans="1:12" s="401" customFormat="1" outlineLevel="1" x14ac:dyDescent="0.25">
      <c r="A55"/>
      <c r="B55" s="412" t="s">
        <v>685</v>
      </c>
      <c r="C55" s="416">
        <v>0</v>
      </c>
      <c r="D55" s="417">
        <v>0</v>
      </c>
      <c r="E55" s="417">
        <v>0</v>
      </c>
      <c r="F55" s="417">
        <v>0</v>
      </c>
      <c r="G55" s="417">
        <v>0</v>
      </c>
      <c r="H55" s="417">
        <v>0</v>
      </c>
      <c r="I55" s="417">
        <v>0</v>
      </c>
      <c r="J55" s="417">
        <v>0</v>
      </c>
      <c r="K55" s="1408">
        <v>0</v>
      </c>
      <c r="L55"/>
    </row>
    <row r="56" spans="1:12" s="401" customFormat="1" outlineLevel="1" x14ac:dyDescent="0.25">
      <c r="A56"/>
      <c r="B56" s="412" t="s">
        <v>686</v>
      </c>
      <c r="C56" s="419">
        <v>0</v>
      </c>
      <c r="D56" s="420">
        <v>0</v>
      </c>
      <c r="E56" s="420">
        <v>0</v>
      </c>
      <c r="F56" s="420">
        <v>0</v>
      </c>
      <c r="G56" s="420">
        <v>0</v>
      </c>
      <c r="H56" s="420">
        <v>0</v>
      </c>
      <c r="I56" s="420">
        <v>0</v>
      </c>
      <c r="J56" s="420">
        <v>0</v>
      </c>
      <c r="K56" s="1409">
        <v>0</v>
      </c>
      <c r="L56"/>
    </row>
    <row r="57" spans="1:12" s="401" customFormat="1" outlineLevel="1" x14ac:dyDescent="0.25">
      <c r="A57"/>
      <c r="B57" s="410" t="s">
        <v>687</v>
      </c>
      <c r="C57" s="411"/>
      <c r="D57" s="411"/>
      <c r="E57" s="411"/>
      <c r="F57" s="411"/>
      <c r="G57" s="411"/>
      <c r="H57" s="411"/>
      <c r="I57" s="411"/>
      <c r="J57" s="411"/>
      <c r="K57" s="411"/>
      <c r="L57"/>
    </row>
    <row r="58" spans="1:12" s="401" customFormat="1" outlineLevel="1" x14ac:dyDescent="0.25">
      <c r="A58"/>
      <c r="B58" s="412" t="s">
        <v>684</v>
      </c>
      <c r="C58" s="413">
        <v>-35112.112180000004</v>
      </c>
      <c r="D58" s="414">
        <v>-805911.35499999998</v>
      </c>
      <c r="E58" s="414">
        <v>-1022340.5676000001</v>
      </c>
      <c r="F58" s="414">
        <v>-57056.173180000013</v>
      </c>
      <c r="G58" s="414">
        <v>-719178.00400800002</v>
      </c>
      <c r="H58" s="414">
        <v>0</v>
      </c>
      <c r="I58" s="414">
        <v>0</v>
      </c>
      <c r="J58" s="414">
        <v>0</v>
      </c>
      <c r="K58" s="1407">
        <v>0</v>
      </c>
      <c r="L58"/>
    </row>
    <row r="59" spans="1:12" s="401" customFormat="1" outlineLevel="1" x14ac:dyDescent="0.25">
      <c r="A59"/>
      <c r="B59" s="412" t="s">
        <v>685</v>
      </c>
      <c r="C59" s="416">
        <v>0</v>
      </c>
      <c r="D59" s="417">
        <v>0</v>
      </c>
      <c r="E59" s="417">
        <v>0</v>
      </c>
      <c r="F59" s="417">
        <v>0</v>
      </c>
      <c r="G59" s="417">
        <v>0</v>
      </c>
      <c r="H59" s="417">
        <v>0</v>
      </c>
      <c r="I59" s="417">
        <v>0</v>
      </c>
      <c r="J59" s="417">
        <v>0</v>
      </c>
      <c r="K59" s="1408">
        <v>0</v>
      </c>
      <c r="L59"/>
    </row>
    <row r="60" spans="1:12" s="401" customFormat="1" outlineLevel="1" x14ac:dyDescent="0.25">
      <c r="A60"/>
      <c r="B60" s="412" t="s">
        <v>686</v>
      </c>
      <c r="C60" s="419">
        <v>0</v>
      </c>
      <c r="D60" s="420">
        <v>0</v>
      </c>
      <c r="E60" s="420">
        <v>0</v>
      </c>
      <c r="F60" s="420">
        <v>0</v>
      </c>
      <c r="G60" s="420">
        <v>0</v>
      </c>
      <c r="H60" s="420">
        <v>0</v>
      </c>
      <c r="I60" s="420">
        <v>0</v>
      </c>
      <c r="J60" s="420">
        <v>0</v>
      </c>
      <c r="K60" s="1409">
        <v>0</v>
      </c>
      <c r="L60"/>
    </row>
    <row r="61" spans="1:12" s="401" customFormat="1" outlineLevel="1" x14ac:dyDescent="0.25">
      <c r="A61"/>
      <c r="B61" s="410" t="s">
        <v>688</v>
      </c>
      <c r="C61" s="411"/>
      <c r="D61" s="411"/>
      <c r="E61" s="411"/>
      <c r="F61" s="411"/>
      <c r="G61" s="411"/>
      <c r="H61" s="411"/>
      <c r="I61" s="411"/>
      <c r="J61" s="411"/>
      <c r="K61" s="411"/>
      <c r="L61"/>
    </row>
    <row r="62" spans="1:12" s="401" customFormat="1" outlineLevel="1" x14ac:dyDescent="0.25">
      <c r="A62"/>
      <c r="B62" s="412" t="s">
        <v>684</v>
      </c>
      <c r="C62" s="413">
        <v>0</v>
      </c>
      <c r="D62" s="414">
        <v>0</v>
      </c>
      <c r="E62" s="414">
        <v>0</v>
      </c>
      <c r="F62" s="414">
        <v>0</v>
      </c>
      <c r="G62" s="414">
        <v>0</v>
      </c>
      <c r="H62" s="414">
        <v>0</v>
      </c>
      <c r="I62" s="414">
        <v>0</v>
      </c>
      <c r="J62" s="414">
        <v>-92325.78187199989</v>
      </c>
      <c r="K62" s="1407">
        <v>0</v>
      </c>
      <c r="L62"/>
    </row>
    <row r="63" spans="1:12" s="401" customFormat="1" outlineLevel="1" x14ac:dyDescent="0.25">
      <c r="A63"/>
      <c r="B63" s="412" t="s">
        <v>685</v>
      </c>
      <c r="C63" s="416">
        <v>0</v>
      </c>
      <c r="D63" s="417">
        <v>0</v>
      </c>
      <c r="E63" s="417">
        <v>0</v>
      </c>
      <c r="F63" s="417">
        <v>0</v>
      </c>
      <c r="G63" s="417">
        <v>0</v>
      </c>
      <c r="H63" s="417">
        <v>0</v>
      </c>
      <c r="I63" s="417">
        <v>0</v>
      </c>
      <c r="J63" s="417">
        <v>0</v>
      </c>
      <c r="K63" s="1408">
        <v>0</v>
      </c>
      <c r="L63"/>
    </row>
    <row r="64" spans="1:12" s="401" customFormat="1" outlineLevel="1" x14ac:dyDescent="0.25">
      <c r="A64"/>
      <c r="B64" s="412" t="s">
        <v>686</v>
      </c>
      <c r="C64" s="419">
        <v>0</v>
      </c>
      <c r="D64" s="420">
        <v>0</v>
      </c>
      <c r="E64" s="420">
        <v>0</v>
      </c>
      <c r="F64" s="420">
        <v>0</v>
      </c>
      <c r="G64" s="420">
        <v>0</v>
      </c>
      <c r="H64" s="420">
        <v>0</v>
      </c>
      <c r="I64" s="420">
        <v>0</v>
      </c>
      <c r="J64" s="420">
        <v>0</v>
      </c>
      <c r="K64" s="1409">
        <v>0</v>
      </c>
      <c r="L64"/>
    </row>
    <row r="65" spans="1:12" s="401" customFormat="1" outlineLevel="1" x14ac:dyDescent="0.25">
      <c r="A65"/>
      <c r="B65" s="410" t="s">
        <v>689</v>
      </c>
      <c r="C65" s="411"/>
      <c r="D65" s="411"/>
      <c r="E65" s="411"/>
      <c r="F65" s="411"/>
      <c r="G65" s="411"/>
      <c r="H65" s="411"/>
      <c r="I65" s="411"/>
      <c r="J65" s="411"/>
      <c r="K65" s="411"/>
      <c r="L65"/>
    </row>
    <row r="66" spans="1:12" s="401" customFormat="1" outlineLevel="1" x14ac:dyDescent="0.25">
      <c r="A66"/>
      <c r="B66" s="412" t="s">
        <v>684</v>
      </c>
      <c r="C66" s="413">
        <v>0</v>
      </c>
      <c r="D66" s="414">
        <v>0</v>
      </c>
      <c r="E66" s="414">
        <v>0</v>
      </c>
      <c r="F66" s="414">
        <v>0</v>
      </c>
      <c r="G66" s="414">
        <v>0</v>
      </c>
      <c r="H66" s="414">
        <v>0</v>
      </c>
      <c r="I66" s="414">
        <v>0</v>
      </c>
      <c r="J66" s="414">
        <v>0</v>
      </c>
      <c r="K66" s="1407">
        <v>0</v>
      </c>
      <c r="L66"/>
    </row>
    <row r="67" spans="1:12" s="401" customFormat="1" outlineLevel="1" x14ac:dyDescent="0.25">
      <c r="A67"/>
      <c r="B67" s="412" t="s">
        <v>685</v>
      </c>
      <c r="C67" s="416">
        <v>0</v>
      </c>
      <c r="D67" s="417">
        <v>0</v>
      </c>
      <c r="E67" s="417">
        <v>0</v>
      </c>
      <c r="F67" s="417">
        <v>0</v>
      </c>
      <c r="G67" s="417">
        <v>0</v>
      </c>
      <c r="H67" s="417">
        <v>0</v>
      </c>
      <c r="I67" s="417">
        <v>0</v>
      </c>
      <c r="J67" s="417">
        <v>0</v>
      </c>
      <c r="K67" s="1408">
        <v>0</v>
      </c>
      <c r="L67"/>
    </row>
    <row r="68" spans="1:12" s="401" customFormat="1" outlineLevel="1" x14ac:dyDescent="0.25">
      <c r="A68"/>
      <c r="B68" s="412" t="s">
        <v>686</v>
      </c>
      <c r="C68" s="416">
        <v>0</v>
      </c>
      <c r="D68" s="417">
        <v>0</v>
      </c>
      <c r="E68" s="417">
        <v>0</v>
      </c>
      <c r="F68" s="417">
        <v>0</v>
      </c>
      <c r="G68" s="417">
        <v>0</v>
      </c>
      <c r="H68" s="417">
        <v>0</v>
      </c>
      <c r="I68" s="417">
        <v>0</v>
      </c>
      <c r="J68" s="417">
        <v>0</v>
      </c>
      <c r="K68" s="1408">
        <v>0</v>
      </c>
      <c r="L68"/>
    </row>
    <row r="69" spans="1:12" s="401" customFormat="1" ht="22.5" customHeight="1" outlineLevel="1" thickBot="1" x14ac:dyDescent="0.3">
      <c r="A69"/>
      <c r="B69" s="422" t="s">
        <v>690</v>
      </c>
      <c r="C69" s="1521"/>
      <c r="D69" s="1522"/>
      <c r="E69" s="1522"/>
      <c r="F69" s="1522"/>
      <c r="G69" s="1522"/>
      <c r="H69" s="1522"/>
      <c r="I69" s="1522"/>
      <c r="J69" s="1522"/>
      <c r="K69" s="1524"/>
      <c r="L69"/>
    </row>
    <row r="70" spans="1:12" s="521" customFormat="1" ht="20.100000000000001" customHeight="1" x14ac:dyDescent="0.25">
      <c r="A70"/>
      <c r="B70" s="649" t="s">
        <v>1310</v>
      </c>
      <c r="C70" s="403"/>
      <c r="D70" s="403"/>
      <c r="E70" s="403"/>
      <c r="F70" s="403"/>
      <c r="G70" s="403"/>
      <c r="H70" s="403"/>
      <c r="I70" s="403"/>
      <c r="J70" s="403"/>
      <c r="K70" s="403"/>
      <c r="L70"/>
    </row>
    <row r="71" spans="1:12" s="401" customFormat="1" ht="25.5" outlineLevel="1" x14ac:dyDescent="0.25">
      <c r="A71"/>
      <c r="B71" s="431" t="s">
        <v>1311</v>
      </c>
      <c r="C71" s="405"/>
      <c r="D71" s="405"/>
      <c r="E71" s="405"/>
      <c r="F71" s="405"/>
      <c r="G71" s="405"/>
      <c r="H71" s="405"/>
      <c r="I71" s="405"/>
      <c r="J71" s="405"/>
      <c r="K71" s="405"/>
      <c r="L71"/>
    </row>
    <row r="72" spans="1:12" s="401" customFormat="1" outlineLevel="1" x14ac:dyDescent="0.25">
      <c r="A72"/>
      <c r="B72" s="406" t="s">
        <v>682</v>
      </c>
      <c r="C72" s="1518"/>
      <c r="D72" s="1519"/>
      <c r="E72" s="1519"/>
      <c r="F72" s="1519"/>
      <c r="G72" s="1519"/>
      <c r="H72" s="1519"/>
      <c r="I72" s="1519"/>
      <c r="J72" s="1519"/>
      <c r="K72" s="1525"/>
      <c r="L72"/>
    </row>
    <row r="73" spans="1:12" s="401" customFormat="1" outlineLevel="1" x14ac:dyDescent="0.25">
      <c r="A73"/>
      <c r="B73" s="410" t="s">
        <v>683</v>
      </c>
      <c r="C73" s="411"/>
      <c r="D73" s="411"/>
      <c r="E73" s="411"/>
      <c r="F73" s="411"/>
      <c r="G73" s="411"/>
      <c r="H73" s="411"/>
      <c r="I73" s="411"/>
      <c r="J73" s="411"/>
      <c r="K73" s="411"/>
      <c r="L73"/>
    </row>
    <row r="74" spans="1:12" s="401" customFormat="1" outlineLevel="1" x14ac:dyDescent="0.25">
      <c r="A74"/>
      <c r="B74" s="412" t="s">
        <v>684</v>
      </c>
      <c r="C74" s="413">
        <v>0</v>
      </c>
      <c r="D74" s="414">
        <v>6754048.5900000008</v>
      </c>
      <c r="E74" s="414">
        <v>8335516.6318623107</v>
      </c>
      <c r="F74" s="414">
        <v>1596771.5760241037</v>
      </c>
      <c r="G74" s="414">
        <v>2311613.6</v>
      </c>
      <c r="H74" s="414">
        <v>2363432.86</v>
      </c>
      <c r="I74" s="414">
        <v>879280.10999999952</v>
      </c>
      <c r="J74" s="414">
        <v>0</v>
      </c>
      <c r="K74" s="1407">
        <v>2108159.7200000002</v>
      </c>
      <c r="L74"/>
    </row>
    <row r="75" spans="1:12" s="401" customFormat="1" outlineLevel="1" x14ac:dyDescent="0.25">
      <c r="A75"/>
      <c r="B75" s="412" t="s">
        <v>685</v>
      </c>
      <c r="C75" s="416">
        <v>0</v>
      </c>
      <c r="D75" s="417">
        <v>0</v>
      </c>
      <c r="E75" s="417">
        <v>0</v>
      </c>
      <c r="F75" s="417">
        <v>0</v>
      </c>
      <c r="G75" s="417">
        <v>0</v>
      </c>
      <c r="H75" s="417">
        <v>0</v>
      </c>
      <c r="I75" s="417">
        <v>0</v>
      </c>
      <c r="J75" s="417">
        <v>0</v>
      </c>
      <c r="K75" s="1408">
        <v>0</v>
      </c>
      <c r="L75"/>
    </row>
    <row r="76" spans="1:12" s="401" customFormat="1" outlineLevel="1" x14ac:dyDescent="0.25">
      <c r="A76"/>
      <c r="B76" s="412" t="s">
        <v>686</v>
      </c>
      <c r="C76" s="419">
        <v>971386.82</v>
      </c>
      <c r="D76" s="420">
        <v>818605.53999999992</v>
      </c>
      <c r="E76" s="420">
        <v>391148.5900000002</v>
      </c>
      <c r="F76" s="420">
        <v>0</v>
      </c>
      <c r="G76" s="420">
        <v>0</v>
      </c>
      <c r="H76" s="420">
        <v>0</v>
      </c>
      <c r="I76" s="420">
        <v>0</v>
      </c>
      <c r="J76" s="420">
        <v>0</v>
      </c>
      <c r="K76" s="1409">
        <v>0</v>
      </c>
      <c r="L76"/>
    </row>
    <row r="77" spans="1:12" s="401" customFormat="1" outlineLevel="1" x14ac:dyDescent="0.25">
      <c r="A77"/>
      <c r="B77" s="410" t="s">
        <v>687</v>
      </c>
      <c r="C77" s="411"/>
      <c r="D77" s="411"/>
      <c r="E77" s="411"/>
      <c r="F77" s="411"/>
      <c r="G77" s="411"/>
      <c r="H77" s="411"/>
      <c r="I77" s="411"/>
      <c r="J77" s="411"/>
      <c r="K77" s="411"/>
      <c r="L77"/>
    </row>
    <row r="78" spans="1:12" s="401" customFormat="1" outlineLevel="1" x14ac:dyDescent="0.25">
      <c r="A78"/>
      <c r="B78" s="412" t="s">
        <v>684</v>
      </c>
      <c r="C78" s="413">
        <v>-79045.119999999995</v>
      </c>
      <c r="D78" s="414">
        <v>0</v>
      </c>
      <c r="E78" s="414">
        <v>-142739.5</v>
      </c>
      <c r="F78" s="414">
        <v>-41603</v>
      </c>
      <c r="G78" s="414">
        <v>-58947.28</v>
      </c>
      <c r="H78" s="414">
        <v>-46896.759999999995</v>
      </c>
      <c r="I78" s="414">
        <v>-37460.58</v>
      </c>
      <c r="J78" s="414">
        <v>-643761.62</v>
      </c>
      <c r="K78" s="1407">
        <v>-13885</v>
      </c>
      <c r="L78"/>
    </row>
    <row r="79" spans="1:12" s="401" customFormat="1" outlineLevel="1" x14ac:dyDescent="0.25">
      <c r="A79"/>
      <c r="B79" s="412" t="s">
        <v>685</v>
      </c>
      <c r="C79" s="416">
        <v>0</v>
      </c>
      <c r="D79" s="417">
        <v>0</v>
      </c>
      <c r="E79" s="417">
        <v>0</v>
      </c>
      <c r="F79" s="417">
        <v>0</v>
      </c>
      <c r="G79" s="417">
        <v>0</v>
      </c>
      <c r="H79" s="417">
        <v>0</v>
      </c>
      <c r="I79" s="417">
        <v>0</v>
      </c>
      <c r="J79" s="417">
        <v>0</v>
      </c>
      <c r="K79" s="1408">
        <v>0</v>
      </c>
      <c r="L79"/>
    </row>
    <row r="80" spans="1:12" s="401" customFormat="1" outlineLevel="1" x14ac:dyDescent="0.25">
      <c r="A80"/>
      <c r="B80" s="412" t="s">
        <v>686</v>
      </c>
      <c r="C80" s="419">
        <v>0</v>
      </c>
      <c r="D80" s="420">
        <v>0</v>
      </c>
      <c r="E80" s="420">
        <v>0</v>
      </c>
      <c r="F80" s="420">
        <v>0</v>
      </c>
      <c r="G80" s="420">
        <v>0</v>
      </c>
      <c r="H80" s="420">
        <v>0</v>
      </c>
      <c r="I80" s="420">
        <v>0</v>
      </c>
      <c r="J80" s="420"/>
      <c r="K80" s="1409">
        <v>0</v>
      </c>
      <c r="L80"/>
    </row>
    <row r="81" spans="1:12" s="401" customFormat="1" outlineLevel="1" x14ac:dyDescent="0.25">
      <c r="A81"/>
      <c r="B81" s="410" t="s">
        <v>688</v>
      </c>
      <c r="C81" s="411"/>
      <c r="D81" s="411"/>
      <c r="E81" s="411"/>
      <c r="F81" s="411"/>
      <c r="G81" s="411"/>
      <c r="H81" s="411"/>
      <c r="I81" s="411"/>
      <c r="J81" s="411"/>
      <c r="K81" s="411"/>
      <c r="L81"/>
    </row>
    <row r="82" spans="1:12" s="401" customFormat="1" outlineLevel="1" x14ac:dyDescent="0.25">
      <c r="A82"/>
      <c r="B82" s="412" t="s">
        <v>684</v>
      </c>
      <c r="C82" s="413">
        <v>0</v>
      </c>
      <c r="D82" s="414">
        <v>0</v>
      </c>
      <c r="E82" s="414">
        <v>0</v>
      </c>
      <c r="F82" s="414">
        <v>0</v>
      </c>
      <c r="G82" s="414">
        <v>0</v>
      </c>
      <c r="H82" s="414">
        <v>0</v>
      </c>
      <c r="I82" s="414">
        <v>0</v>
      </c>
      <c r="J82" s="414">
        <v>0</v>
      </c>
      <c r="K82" s="1407">
        <v>-304694</v>
      </c>
      <c r="L82"/>
    </row>
    <row r="83" spans="1:12" s="401" customFormat="1" outlineLevel="1" x14ac:dyDescent="0.25">
      <c r="A83"/>
      <c r="B83" s="412" t="s">
        <v>685</v>
      </c>
      <c r="C83" s="416">
        <v>0</v>
      </c>
      <c r="D83" s="417">
        <v>0</v>
      </c>
      <c r="E83" s="417">
        <v>0</v>
      </c>
      <c r="F83" s="417">
        <v>0</v>
      </c>
      <c r="G83" s="417">
        <v>0</v>
      </c>
      <c r="H83" s="417">
        <v>0</v>
      </c>
      <c r="I83" s="417">
        <v>0</v>
      </c>
      <c r="J83" s="417">
        <v>0</v>
      </c>
      <c r="K83" s="1408">
        <v>0</v>
      </c>
      <c r="L83"/>
    </row>
    <row r="84" spans="1:12" s="401" customFormat="1" outlineLevel="1" x14ac:dyDescent="0.25">
      <c r="A84"/>
      <c r="B84" s="412" t="s">
        <v>686</v>
      </c>
      <c r="C84" s="419">
        <v>0</v>
      </c>
      <c r="D84" s="420">
        <v>0</v>
      </c>
      <c r="E84" s="420">
        <v>0</v>
      </c>
      <c r="F84" s="420">
        <v>0</v>
      </c>
      <c r="G84" s="420">
        <v>0</v>
      </c>
      <c r="H84" s="420">
        <v>0</v>
      </c>
      <c r="I84" s="420">
        <v>0</v>
      </c>
      <c r="J84" s="420">
        <v>0</v>
      </c>
      <c r="K84" s="1409">
        <v>0</v>
      </c>
      <c r="L84"/>
    </row>
    <row r="85" spans="1:12" s="401" customFormat="1" outlineLevel="1" x14ac:dyDescent="0.25">
      <c r="A85"/>
      <c r="B85" s="410" t="s">
        <v>689</v>
      </c>
      <c r="C85" s="411"/>
      <c r="D85" s="411"/>
      <c r="E85" s="411"/>
      <c r="F85" s="411"/>
      <c r="G85" s="411"/>
      <c r="H85" s="411"/>
      <c r="I85" s="411"/>
      <c r="J85" s="411"/>
      <c r="K85" s="411"/>
      <c r="L85"/>
    </row>
    <row r="86" spans="1:12" s="401" customFormat="1" outlineLevel="1" x14ac:dyDescent="0.25">
      <c r="A86"/>
      <c r="B86" s="412" t="s">
        <v>684</v>
      </c>
      <c r="C86" s="413">
        <v>0</v>
      </c>
      <c r="D86" s="414">
        <v>0</v>
      </c>
      <c r="E86" s="414">
        <v>0</v>
      </c>
      <c r="F86" s="414">
        <v>0</v>
      </c>
      <c r="G86" s="414">
        <v>0</v>
      </c>
      <c r="H86" s="414">
        <v>0</v>
      </c>
      <c r="I86" s="414">
        <v>0</v>
      </c>
      <c r="J86" s="414">
        <v>0</v>
      </c>
      <c r="K86" s="1407">
        <v>0</v>
      </c>
      <c r="L86"/>
    </row>
    <row r="87" spans="1:12" s="401" customFormat="1" outlineLevel="1" x14ac:dyDescent="0.25">
      <c r="A87"/>
      <c r="B87" s="412" t="s">
        <v>685</v>
      </c>
      <c r="C87" s="416">
        <v>0</v>
      </c>
      <c r="D87" s="417">
        <v>0</v>
      </c>
      <c r="E87" s="417">
        <v>0</v>
      </c>
      <c r="F87" s="417">
        <v>0</v>
      </c>
      <c r="G87" s="417">
        <v>0</v>
      </c>
      <c r="H87" s="417">
        <v>0</v>
      </c>
      <c r="I87" s="417">
        <v>0</v>
      </c>
      <c r="J87" s="417">
        <v>0</v>
      </c>
      <c r="K87" s="1408">
        <v>0</v>
      </c>
      <c r="L87"/>
    </row>
    <row r="88" spans="1:12" s="401" customFormat="1" outlineLevel="1" x14ac:dyDescent="0.25">
      <c r="A88"/>
      <c r="B88" s="412" t="s">
        <v>686</v>
      </c>
      <c r="C88" s="416">
        <v>0</v>
      </c>
      <c r="D88" s="417">
        <v>0</v>
      </c>
      <c r="E88" s="417">
        <v>0</v>
      </c>
      <c r="F88" s="417">
        <v>0</v>
      </c>
      <c r="G88" s="417">
        <v>0</v>
      </c>
      <c r="H88" s="417">
        <v>0</v>
      </c>
      <c r="I88" s="417">
        <v>0</v>
      </c>
      <c r="J88" s="417">
        <v>2300000</v>
      </c>
      <c r="K88" s="1408">
        <v>0</v>
      </c>
      <c r="L88"/>
    </row>
    <row r="89" spans="1:12" s="401" customFormat="1" ht="22.5" customHeight="1" outlineLevel="1" thickBot="1" x14ac:dyDescent="0.3">
      <c r="A89"/>
      <c r="B89" s="422" t="s">
        <v>690</v>
      </c>
      <c r="C89" s="1521"/>
      <c r="D89" s="1522"/>
      <c r="E89" s="1522"/>
      <c r="F89" s="1522"/>
      <c r="G89" s="1522"/>
      <c r="H89" s="1522"/>
      <c r="I89" s="1522"/>
      <c r="J89" s="1522"/>
      <c r="K89" s="1524"/>
      <c r="L89"/>
    </row>
    <row r="90" spans="1:12" s="521" customFormat="1" ht="20.100000000000001" customHeight="1" x14ac:dyDescent="0.25">
      <c r="A90"/>
      <c r="B90" s="649" t="s">
        <v>1312</v>
      </c>
      <c r="C90" s="403"/>
      <c r="D90" s="403"/>
      <c r="E90" s="403"/>
      <c r="F90" s="403"/>
      <c r="G90" s="403"/>
      <c r="H90" s="403"/>
      <c r="I90" s="403"/>
      <c r="J90" s="403"/>
      <c r="K90" s="403"/>
      <c r="L90"/>
    </row>
    <row r="91" spans="1:12" s="401" customFormat="1" ht="25.5" outlineLevel="1" x14ac:dyDescent="0.25">
      <c r="A91"/>
      <c r="B91" s="431" t="s">
        <v>1313</v>
      </c>
      <c r="C91" s="405"/>
      <c r="D91" s="405"/>
      <c r="E91" s="405"/>
      <c r="F91" s="405"/>
      <c r="G91" s="405"/>
      <c r="H91" s="405"/>
      <c r="I91" s="405"/>
      <c r="J91" s="405"/>
      <c r="K91" s="405"/>
      <c r="L91"/>
    </row>
    <row r="92" spans="1:12" s="401" customFormat="1" outlineLevel="1" x14ac:dyDescent="0.25">
      <c r="A92"/>
      <c r="B92" s="406" t="s">
        <v>682</v>
      </c>
      <c r="C92" s="1518"/>
      <c r="D92" s="1519"/>
      <c r="E92" s="1519"/>
      <c r="F92" s="1519"/>
      <c r="G92" s="1519"/>
      <c r="H92" s="1519"/>
      <c r="I92" s="1519"/>
      <c r="J92" s="1519"/>
      <c r="K92" s="1525"/>
      <c r="L92"/>
    </row>
    <row r="93" spans="1:12" s="401" customFormat="1" outlineLevel="1" x14ac:dyDescent="0.25">
      <c r="A93"/>
      <c r="B93" s="410" t="s">
        <v>683</v>
      </c>
      <c r="C93" s="411"/>
      <c r="D93" s="411"/>
      <c r="E93" s="411"/>
      <c r="F93" s="411"/>
      <c r="G93" s="411"/>
      <c r="H93" s="411"/>
      <c r="I93" s="411"/>
      <c r="J93" s="411"/>
      <c r="K93" s="411"/>
      <c r="L93"/>
    </row>
    <row r="94" spans="1:12" s="401" customFormat="1" outlineLevel="1" x14ac:dyDescent="0.25">
      <c r="A94"/>
      <c r="B94" s="412" t="s">
        <v>684</v>
      </c>
      <c r="C94" s="413">
        <v>227969.24328352071</v>
      </c>
      <c r="D94" s="414">
        <v>145385.35896887895</v>
      </c>
      <c r="E94" s="414">
        <v>174368.57372861676</v>
      </c>
      <c r="F94" s="414">
        <v>185859.20652943227</v>
      </c>
      <c r="G94" s="414">
        <v>51127.361770667034</v>
      </c>
      <c r="H94" s="414">
        <v>0</v>
      </c>
      <c r="I94" s="414">
        <v>0</v>
      </c>
      <c r="J94" s="414">
        <v>0</v>
      </c>
      <c r="K94" s="1407">
        <v>0</v>
      </c>
      <c r="L94"/>
    </row>
    <row r="95" spans="1:12" s="401" customFormat="1" outlineLevel="1" x14ac:dyDescent="0.25">
      <c r="A95"/>
      <c r="B95" s="412" t="s">
        <v>685</v>
      </c>
      <c r="C95" s="416">
        <v>11687.955630612218</v>
      </c>
      <c r="D95" s="417">
        <v>9294.6410311210439</v>
      </c>
      <c r="E95" s="417">
        <v>12071.780563290944</v>
      </c>
      <c r="F95" s="417">
        <v>7660.5758170033923</v>
      </c>
      <c r="G95" s="417">
        <v>2214.4323137175652</v>
      </c>
      <c r="H95" s="417">
        <v>0</v>
      </c>
      <c r="I95" s="417">
        <v>0</v>
      </c>
      <c r="J95" s="417">
        <v>0</v>
      </c>
      <c r="K95" s="1408">
        <v>0</v>
      </c>
      <c r="L95"/>
    </row>
    <row r="96" spans="1:12" s="401" customFormat="1" outlineLevel="1" x14ac:dyDescent="0.25">
      <c r="A96"/>
      <c r="B96" s="412" t="s">
        <v>686</v>
      </c>
      <c r="C96" s="419">
        <v>2150294.5389427841</v>
      </c>
      <c r="D96" s="420">
        <v>1600320</v>
      </c>
      <c r="E96" s="420">
        <v>0</v>
      </c>
      <c r="F96" s="420">
        <v>86307.676722413584</v>
      </c>
      <c r="G96" s="420">
        <v>0</v>
      </c>
      <c r="H96" s="420">
        <v>0</v>
      </c>
      <c r="I96" s="420">
        <v>0</v>
      </c>
      <c r="J96" s="420">
        <v>0</v>
      </c>
      <c r="K96" s="1409">
        <v>0</v>
      </c>
      <c r="L96"/>
    </row>
    <row r="97" spans="1:12" s="401" customFormat="1" outlineLevel="1" x14ac:dyDescent="0.25">
      <c r="A97"/>
      <c r="B97" s="410" t="s">
        <v>687</v>
      </c>
      <c r="C97" s="411"/>
      <c r="D97" s="411"/>
      <c r="E97" s="411"/>
      <c r="F97" s="411"/>
      <c r="G97" s="411"/>
      <c r="H97" s="411"/>
      <c r="I97" s="411"/>
      <c r="J97" s="411"/>
      <c r="K97" s="411"/>
      <c r="L97"/>
    </row>
    <row r="98" spans="1:12" s="401" customFormat="1" outlineLevel="1" x14ac:dyDescent="0.25">
      <c r="A98"/>
      <c r="B98" s="412" t="s">
        <v>684</v>
      </c>
      <c r="C98" s="413">
        <v>-843689.3954683271</v>
      </c>
      <c r="D98" s="414">
        <v>-1124704.4815608363</v>
      </c>
      <c r="E98" s="414">
        <v>-191019.33747904163</v>
      </c>
      <c r="F98" s="414">
        <v>-122177.20499376681</v>
      </c>
      <c r="G98" s="414">
        <v>-167931.57255733927</v>
      </c>
      <c r="H98" s="414">
        <v>0</v>
      </c>
      <c r="I98" s="414">
        <v>0</v>
      </c>
      <c r="J98" s="414">
        <v>0</v>
      </c>
      <c r="K98" s="1407">
        <v>0</v>
      </c>
      <c r="L98"/>
    </row>
    <row r="99" spans="1:12" s="401" customFormat="1" outlineLevel="1" x14ac:dyDescent="0.25">
      <c r="A99"/>
      <c r="B99" s="412" t="s">
        <v>685</v>
      </c>
      <c r="C99" s="416">
        <v>-43255.853632798709</v>
      </c>
      <c r="D99" s="417">
        <v>-71903.556839164143</v>
      </c>
      <c r="E99" s="417">
        <v>-13224.536257210691</v>
      </c>
      <c r="F99" s="417">
        <v>-5035.7889686573126</v>
      </c>
      <c r="G99" s="417">
        <v>-4253.3114575781547</v>
      </c>
      <c r="H99" s="417">
        <v>0</v>
      </c>
      <c r="I99" s="417">
        <v>0</v>
      </c>
      <c r="J99" s="417">
        <v>0</v>
      </c>
      <c r="K99" s="1408">
        <v>0</v>
      </c>
      <c r="L99"/>
    </row>
    <row r="100" spans="1:12" s="401" customFormat="1" outlineLevel="1" x14ac:dyDescent="0.25">
      <c r="A100"/>
      <c r="B100" s="412" t="s">
        <v>686</v>
      </c>
      <c r="C100" s="419">
        <v>0</v>
      </c>
      <c r="D100" s="420">
        <v>-394080.00000000093</v>
      </c>
      <c r="E100" s="420">
        <v>-1131903.1844648675</v>
      </c>
      <c r="F100" s="420"/>
      <c r="G100" s="420">
        <v>-1157740.846931017</v>
      </c>
      <c r="H100" s="420">
        <v>0</v>
      </c>
      <c r="I100" s="420">
        <v>0</v>
      </c>
      <c r="J100" s="420">
        <v>0</v>
      </c>
      <c r="K100" s="1409">
        <v>0</v>
      </c>
      <c r="L100"/>
    </row>
    <row r="101" spans="1:12" s="401" customFormat="1" outlineLevel="1" x14ac:dyDescent="0.25">
      <c r="A101"/>
      <c r="B101" s="410" t="s">
        <v>688</v>
      </c>
      <c r="C101" s="411"/>
      <c r="D101" s="411"/>
      <c r="E101" s="411"/>
      <c r="F101" s="411"/>
      <c r="G101" s="411"/>
      <c r="H101" s="411"/>
      <c r="I101" s="411"/>
      <c r="J101" s="411"/>
      <c r="K101" s="411"/>
      <c r="L101"/>
    </row>
    <row r="102" spans="1:12" s="401" customFormat="1" outlineLevel="1" x14ac:dyDescent="0.25">
      <c r="A102"/>
      <c r="B102" s="412" t="s">
        <v>684</v>
      </c>
      <c r="C102" s="413">
        <v>0</v>
      </c>
      <c r="D102" s="414">
        <v>0</v>
      </c>
      <c r="E102" s="414">
        <v>0</v>
      </c>
      <c r="F102" s="414">
        <v>0</v>
      </c>
      <c r="G102" s="414">
        <v>0</v>
      </c>
      <c r="H102" s="414">
        <v>0</v>
      </c>
      <c r="I102" s="414">
        <v>0</v>
      </c>
      <c r="J102" s="414">
        <v>0</v>
      </c>
      <c r="K102" s="1407">
        <v>0</v>
      </c>
      <c r="L102"/>
    </row>
    <row r="103" spans="1:12" s="401" customFormat="1" outlineLevel="1" x14ac:dyDescent="0.25">
      <c r="A103"/>
      <c r="B103" s="412" t="s">
        <v>685</v>
      </c>
      <c r="C103" s="416">
        <v>0</v>
      </c>
      <c r="D103" s="417">
        <v>0</v>
      </c>
      <c r="E103" s="417">
        <v>0</v>
      </c>
      <c r="F103" s="417">
        <v>0</v>
      </c>
      <c r="G103" s="417">
        <v>0</v>
      </c>
      <c r="H103" s="417">
        <v>0</v>
      </c>
      <c r="I103" s="417">
        <v>0</v>
      </c>
      <c r="J103" s="417">
        <v>0</v>
      </c>
      <c r="K103" s="1408">
        <v>0</v>
      </c>
      <c r="L103"/>
    </row>
    <row r="104" spans="1:12" s="401" customFormat="1" outlineLevel="1" x14ac:dyDescent="0.25">
      <c r="A104"/>
      <c r="B104" s="412" t="s">
        <v>686</v>
      </c>
      <c r="C104" s="419">
        <v>0</v>
      </c>
      <c r="D104" s="420">
        <v>0</v>
      </c>
      <c r="E104" s="420">
        <v>0</v>
      </c>
      <c r="F104" s="420">
        <v>0</v>
      </c>
      <c r="G104" s="420">
        <v>0</v>
      </c>
      <c r="H104" s="420">
        <v>0</v>
      </c>
      <c r="I104" s="420">
        <v>0</v>
      </c>
      <c r="J104" s="420">
        <v>-4617377.7435550997</v>
      </c>
      <c r="K104" s="1409">
        <v>0</v>
      </c>
      <c r="L104"/>
    </row>
    <row r="105" spans="1:12" s="401" customFormat="1" outlineLevel="1" x14ac:dyDescent="0.25">
      <c r="A105"/>
      <c r="B105" s="410" t="s">
        <v>689</v>
      </c>
      <c r="C105" s="411"/>
      <c r="D105" s="411"/>
      <c r="E105" s="411"/>
      <c r="F105" s="411"/>
      <c r="G105" s="411"/>
      <c r="H105" s="411"/>
      <c r="I105" s="411"/>
      <c r="J105" s="411"/>
      <c r="K105" s="411"/>
      <c r="L105"/>
    </row>
    <row r="106" spans="1:12" s="401" customFormat="1" outlineLevel="1" x14ac:dyDescent="0.25">
      <c r="A106"/>
      <c r="B106" s="412" t="s">
        <v>684</v>
      </c>
      <c r="C106" s="413">
        <v>0</v>
      </c>
      <c r="D106" s="414">
        <v>0</v>
      </c>
      <c r="E106" s="414">
        <v>0</v>
      </c>
      <c r="F106" s="414">
        <v>0</v>
      </c>
      <c r="G106" s="414">
        <v>0</v>
      </c>
      <c r="H106" s="414">
        <v>0</v>
      </c>
      <c r="I106" s="414">
        <v>0</v>
      </c>
      <c r="J106" s="414">
        <v>0</v>
      </c>
      <c r="K106" s="1407">
        <v>0</v>
      </c>
      <c r="L106"/>
    </row>
    <row r="107" spans="1:12" s="401" customFormat="1" outlineLevel="1" x14ac:dyDescent="0.25">
      <c r="A107"/>
      <c r="B107" s="412" t="s">
        <v>685</v>
      </c>
      <c r="C107" s="416">
        <v>0</v>
      </c>
      <c r="D107" s="417">
        <v>0</v>
      </c>
      <c r="E107" s="417">
        <v>0</v>
      </c>
      <c r="F107" s="417">
        <v>0</v>
      </c>
      <c r="G107" s="417">
        <v>0</v>
      </c>
      <c r="H107" s="417">
        <v>0</v>
      </c>
      <c r="I107" s="417">
        <v>0</v>
      </c>
      <c r="J107" s="417">
        <v>0</v>
      </c>
      <c r="K107" s="1408">
        <v>0</v>
      </c>
      <c r="L107"/>
    </row>
    <row r="108" spans="1:12" s="401" customFormat="1" outlineLevel="1" x14ac:dyDescent="0.25">
      <c r="A108"/>
      <c r="B108" s="412" t="s">
        <v>686</v>
      </c>
      <c r="C108" s="416">
        <v>0</v>
      </c>
      <c r="D108" s="417">
        <v>0</v>
      </c>
      <c r="E108" s="417">
        <v>0</v>
      </c>
      <c r="F108" s="417">
        <v>0</v>
      </c>
      <c r="G108" s="417">
        <v>0</v>
      </c>
      <c r="H108" s="417">
        <v>0</v>
      </c>
      <c r="I108" s="417">
        <v>0</v>
      </c>
      <c r="J108" s="417">
        <v>0</v>
      </c>
      <c r="K108" s="1408">
        <v>0</v>
      </c>
      <c r="L108"/>
    </row>
    <row r="109" spans="1:12" s="401" customFormat="1" ht="22.5" customHeight="1" outlineLevel="1" thickBot="1" x14ac:dyDescent="0.3">
      <c r="A109"/>
      <c r="B109" s="422" t="s">
        <v>690</v>
      </c>
      <c r="C109" s="1521"/>
      <c r="D109" s="1522"/>
      <c r="E109" s="1522"/>
      <c r="F109" s="1522"/>
      <c r="G109" s="1522"/>
      <c r="H109" s="1522"/>
      <c r="I109" s="1522"/>
      <c r="J109" s="1522"/>
      <c r="K109" s="1524"/>
      <c r="L109"/>
    </row>
    <row r="110" spans="1:12" s="521" customFormat="1" ht="20.100000000000001" customHeight="1" x14ac:dyDescent="0.25">
      <c r="A110"/>
      <c r="B110" s="649" t="s">
        <v>1314</v>
      </c>
      <c r="C110" s="403"/>
      <c r="D110" s="403"/>
      <c r="E110" s="403"/>
      <c r="F110" s="403"/>
      <c r="G110" s="403"/>
      <c r="H110" s="403"/>
      <c r="I110" s="403"/>
      <c r="J110" s="403"/>
      <c r="K110" s="403"/>
      <c r="L110"/>
    </row>
    <row r="111" spans="1:12" s="401" customFormat="1" ht="25.5" outlineLevel="1" x14ac:dyDescent="0.25">
      <c r="A111"/>
      <c r="B111" s="431" t="s">
        <v>1352</v>
      </c>
      <c r="C111" s="405"/>
      <c r="D111" s="405"/>
      <c r="E111" s="405"/>
      <c r="F111" s="405"/>
      <c r="G111" s="405"/>
      <c r="H111" s="405"/>
      <c r="I111" s="405"/>
      <c r="J111" s="405"/>
      <c r="K111" s="405"/>
      <c r="L111"/>
    </row>
    <row r="112" spans="1:12" s="401" customFormat="1" outlineLevel="1" x14ac:dyDescent="0.25">
      <c r="A112"/>
      <c r="B112" s="406" t="s">
        <v>682</v>
      </c>
      <c r="C112" s="1518"/>
      <c r="D112" s="1519"/>
      <c r="E112" s="1519"/>
      <c r="F112" s="1519"/>
      <c r="G112" s="1519"/>
      <c r="H112" s="1519"/>
      <c r="I112" s="1519"/>
      <c r="J112" s="1519"/>
      <c r="K112" s="1525"/>
      <c r="L112"/>
    </row>
    <row r="113" spans="1:12" s="401" customFormat="1" outlineLevel="1" x14ac:dyDescent="0.25">
      <c r="A113"/>
      <c r="B113" s="410" t="s">
        <v>683</v>
      </c>
      <c r="C113" s="411"/>
      <c r="D113" s="411"/>
      <c r="E113" s="411"/>
      <c r="F113" s="411"/>
      <c r="G113" s="411"/>
      <c r="H113" s="411"/>
      <c r="I113" s="411"/>
      <c r="J113" s="411"/>
      <c r="K113" s="411"/>
      <c r="L113"/>
    </row>
    <row r="114" spans="1:12" s="401" customFormat="1" outlineLevel="1" x14ac:dyDescent="0.25">
      <c r="A114"/>
      <c r="B114" s="412" t="s">
        <v>684</v>
      </c>
      <c r="C114" s="413">
        <v>0</v>
      </c>
      <c r="D114" s="414">
        <v>1609126</v>
      </c>
      <c r="E114" s="414">
        <v>3198069.5</v>
      </c>
      <c r="F114" s="414">
        <v>0</v>
      </c>
      <c r="G114" s="414">
        <v>0</v>
      </c>
      <c r="H114" s="414">
        <v>326876.81</v>
      </c>
      <c r="I114" s="414">
        <v>109982.75</v>
      </c>
      <c r="J114" s="414">
        <v>393649.19000000006</v>
      </c>
      <c r="K114" s="1407">
        <v>481745</v>
      </c>
      <c r="L114"/>
    </row>
    <row r="115" spans="1:12" s="401" customFormat="1" outlineLevel="1" x14ac:dyDescent="0.25">
      <c r="A115"/>
      <c r="B115" s="412" t="s">
        <v>685</v>
      </c>
      <c r="C115" s="416">
        <v>0</v>
      </c>
      <c r="D115" s="417">
        <v>0</v>
      </c>
      <c r="E115" s="417">
        <v>0</v>
      </c>
      <c r="F115" s="417">
        <v>0</v>
      </c>
      <c r="G115" s="417">
        <v>0</v>
      </c>
      <c r="H115" s="417">
        <v>0</v>
      </c>
      <c r="I115" s="417">
        <v>0</v>
      </c>
      <c r="J115" s="417">
        <v>0</v>
      </c>
      <c r="K115" s="1408">
        <v>0</v>
      </c>
      <c r="L115"/>
    </row>
    <row r="116" spans="1:12" s="401" customFormat="1" outlineLevel="1" x14ac:dyDescent="0.25">
      <c r="A116"/>
      <c r="B116" s="412" t="s">
        <v>686</v>
      </c>
      <c r="C116" s="419">
        <v>0</v>
      </c>
      <c r="D116" s="420">
        <v>0</v>
      </c>
      <c r="E116" s="420">
        <v>0</v>
      </c>
      <c r="F116" s="420">
        <v>0</v>
      </c>
      <c r="G116" s="420">
        <v>0</v>
      </c>
      <c r="H116" s="420">
        <v>0</v>
      </c>
      <c r="I116" s="420">
        <v>0</v>
      </c>
      <c r="J116" s="420">
        <v>0</v>
      </c>
      <c r="K116" s="1409">
        <v>0</v>
      </c>
      <c r="L116"/>
    </row>
    <row r="117" spans="1:12" s="401" customFormat="1" outlineLevel="1" x14ac:dyDescent="0.25">
      <c r="A117"/>
      <c r="B117" s="410" t="s">
        <v>687</v>
      </c>
      <c r="C117" s="411"/>
      <c r="D117" s="411"/>
      <c r="E117" s="411"/>
      <c r="F117" s="411"/>
      <c r="G117" s="411"/>
      <c r="H117" s="411"/>
      <c r="I117" s="411"/>
      <c r="J117" s="411"/>
      <c r="K117" s="411"/>
      <c r="L117"/>
    </row>
    <row r="118" spans="1:12" s="401" customFormat="1" outlineLevel="1" x14ac:dyDescent="0.25">
      <c r="A118"/>
      <c r="B118" s="412" t="s">
        <v>684</v>
      </c>
      <c r="C118" s="413">
        <v>0</v>
      </c>
      <c r="D118" s="414">
        <v>0</v>
      </c>
      <c r="E118" s="414">
        <v>-2411090</v>
      </c>
      <c r="F118" s="414">
        <v>-1703498.4500000002</v>
      </c>
      <c r="G118" s="414">
        <v>-325107.05000000005</v>
      </c>
      <c r="H118" s="414">
        <v>-321076.75</v>
      </c>
      <c r="I118" s="414">
        <v>-356210.85000000003</v>
      </c>
      <c r="J118" s="414">
        <v>-151523.71</v>
      </c>
      <c r="K118" s="1407">
        <v>-369197.44</v>
      </c>
      <c r="L118"/>
    </row>
    <row r="119" spans="1:12" s="401" customFormat="1" outlineLevel="1" x14ac:dyDescent="0.25">
      <c r="A119"/>
      <c r="B119" s="412" t="s">
        <v>685</v>
      </c>
      <c r="C119" s="416">
        <v>0</v>
      </c>
      <c r="D119" s="417">
        <v>0</v>
      </c>
      <c r="E119" s="417">
        <v>0</v>
      </c>
      <c r="F119" s="417">
        <v>0</v>
      </c>
      <c r="G119" s="417">
        <v>0</v>
      </c>
      <c r="H119" s="417">
        <v>0</v>
      </c>
      <c r="I119" s="417">
        <v>0</v>
      </c>
      <c r="J119" s="417">
        <v>0</v>
      </c>
      <c r="K119" s="1408">
        <v>0</v>
      </c>
      <c r="L119"/>
    </row>
    <row r="120" spans="1:12" s="401" customFormat="1" outlineLevel="1" x14ac:dyDescent="0.25">
      <c r="A120"/>
      <c r="B120" s="412" t="s">
        <v>686</v>
      </c>
      <c r="C120" s="419">
        <v>0</v>
      </c>
      <c r="D120" s="420">
        <v>0</v>
      </c>
      <c r="E120" s="420">
        <v>0</v>
      </c>
      <c r="F120" s="420">
        <v>0</v>
      </c>
      <c r="G120" s="420">
        <v>0</v>
      </c>
      <c r="H120" s="420">
        <v>0</v>
      </c>
      <c r="I120" s="420">
        <v>0</v>
      </c>
      <c r="J120" s="420">
        <v>0</v>
      </c>
      <c r="K120" s="1409">
        <v>0</v>
      </c>
      <c r="L120"/>
    </row>
    <row r="121" spans="1:12" s="401" customFormat="1" outlineLevel="1" x14ac:dyDescent="0.25">
      <c r="A121"/>
      <c r="B121" s="410" t="s">
        <v>688</v>
      </c>
      <c r="C121" s="411"/>
      <c r="D121" s="411"/>
      <c r="E121" s="411"/>
      <c r="F121" s="411"/>
      <c r="G121" s="411"/>
      <c r="H121" s="411"/>
      <c r="I121" s="411"/>
      <c r="J121" s="411"/>
      <c r="K121" s="411"/>
      <c r="L121"/>
    </row>
    <row r="122" spans="1:12" s="401" customFormat="1" outlineLevel="1" x14ac:dyDescent="0.25">
      <c r="A122"/>
      <c r="B122" s="412" t="s">
        <v>684</v>
      </c>
      <c r="C122" s="413">
        <v>0</v>
      </c>
      <c r="D122" s="414">
        <v>0</v>
      </c>
      <c r="E122" s="414">
        <v>0</v>
      </c>
      <c r="F122" s="414">
        <v>0</v>
      </c>
      <c r="G122" s="414">
        <v>0</v>
      </c>
      <c r="H122" s="414">
        <v>0</v>
      </c>
      <c r="I122" s="414">
        <v>0</v>
      </c>
      <c r="J122" s="414">
        <v>0</v>
      </c>
      <c r="K122" s="1407">
        <v>0</v>
      </c>
      <c r="L122"/>
    </row>
    <row r="123" spans="1:12" s="401" customFormat="1" outlineLevel="1" x14ac:dyDescent="0.25">
      <c r="A123"/>
      <c r="B123" s="412" t="s">
        <v>685</v>
      </c>
      <c r="C123" s="416">
        <v>0</v>
      </c>
      <c r="D123" s="417">
        <v>0</v>
      </c>
      <c r="E123" s="417">
        <v>0</v>
      </c>
      <c r="F123" s="417">
        <v>0</v>
      </c>
      <c r="G123" s="417">
        <v>0</v>
      </c>
      <c r="H123" s="417">
        <v>0</v>
      </c>
      <c r="I123" s="417">
        <v>0</v>
      </c>
      <c r="J123" s="417">
        <v>0</v>
      </c>
      <c r="K123" s="1408">
        <v>0</v>
      </c>
      <c r="L123"/>
    </row>
    <row r="124" spans="1:12" s="401" customFormat="1" outlineLevel="1" x14ac:dyDescent="0.25">
      <c r="A124"/>
      <c r="B124" s="412" t="s">
        <v>686</v>
      </c>
      <c r="C124" s="419">
        <v>0</v>
      </c>
      <c r="D124" s="420">
        <v>0</v>
      </c>
      <c r="E124" s="420">
        <v>0</v>
      </c>
      <c r="F124" s="420">
        <v>0</v>
      </c>
      <c r="G124" s="420">
        <v>0</v>
      </c>
      <c r="H124" s="420">
        <v>0</v>
      </c>
      <c r="I124" s="420">
        <v>0</v>
      </c>
      <c r="J124" s="420">
        <v>0</v>
      </c>
      <c r="K124" s="1409">
        <v>51108.67</v>
      </c>
      <c r="L124"/>
    </row>
    <row r="125" spans="1:12" s="401" customFormat="1" outlineLevel="1" x14ac:dyDescent="0.25">
      <c r="A125"/>
      <c r="B125" s="410" t="s">
        <v>689</v>
      </c>
      <c r="C125" s="411"/>
      <c r="D125" s="411"/>
      <c r="E125" s="411"/>
      <c r="F125" s="411"/>
      <c r="G125" s="411"/>
      <c r="H125" s="411"/>
      <c r="I125" s="411"/>
      <c r="J125" s="411"/>
      <c r="K125" s="411"/>
      <c r="L125"/>
    </row>
    <row r="126" spans="1:12" s="401" customFormat="1" outlineLevel="1" x14ac:dyDescent="0.25">
      <c r="A126"/>
      <c r="B126" s="412" t="s">
        <v>684</v>
      </c>
      <c r="C126" s="413">
        <v>0</v>
      </c>
      <c r="D126" s="414">
        <v>0</v>
      </c>
      <c r="E126" s="414">
        <v>0</v>
      </c>
      <c r="F126" s="414">
        <v>0</v>
      </c>
      <c r="G126" s="414">
        <v>0</v>
      </c>
      <c r="H126" s="414">
        <v>0</v>
      </c>
      <c r="I126" s="414">
        <v>0</v>
      </c>
      <c r="J126" s="414">
        <v>0</v>
      </c>
      <c r="K126" s="1407">
        <v>0</v>
      </c>
      <c r="L126"/>
    </row>
    <row r="127" spans="1:12" s="401" customFormat="1" outlineLevel="1" x14ac:dyDescent="0.25">
      <c r="A127"/>
      <c r="B127" s="412" t="s">
        <v>685</v>
      </c>
      <c r="C127" s="416">
        <v>0</v>
      </c>
      <c r="D127" s="417">
        <v>0</v>
      </c>
      <c r="E127" s="417">
        <v>0</v>
      </c>
      <c r="F127" s="417">
        <v>0</v>
      </c>
      <c r="G127" s="417">
        <v>0</v>
      </c>
      <c r="H127" s="417">
        <v>0</v>
      </c>
      <c r="I127" s="417">
        <v>0</v>
      </c>
      <c r="J127" s="417">
        <v>0</v>
      </c>
      <c r="K127" s="1408">
        <v>0</v>
      </c>
      <c r="L127"/>
    </row>
    <row r="128" spans="1:12" s="401" customFormat="1" outlineLevel="1" x14ac:dyDescent="0.25">
      <c r="A128"/>
      <c r="B128" s="412" t="s">
        <v>686</v>
      </c>
      <c r="C128" s="416">
        <v>0</v>
      </c>
      <c r="D128" s="417">
        <v>0</v>
      </c>
      <c r="E128" s="417">
        <v>0</v>
      </c>
      <c r="F128" s="417">
        <v>0</v>
      </c>
      <c r="G128" s="417">
        <v>0</v>
      </c>
      <c r="H128" s="417">
        <v>0</v>
      </c>
      <c r="I128" s="417">
        <v>0</v>
      </c>
      <c r="J128" s="417">
        <v>0</v>
      </c>
      <c r="K128" s="1408">
        <v>0</v>
      </c>
      <c r="L128"/>
    </row>
    <row r="129" spans="1:12" s="401" customFormat="1" ht="22.5" customHeight="1" outlineLevel="1" thickBot="1" x14ac:dyDescent="0.3">
      <c r="A129"/>
      <c r="B129" s="422" t="s">
        <v>690</v>
      </c>
      <c r="C129" s="1521"/>
      <c r="D129" s="1522"/>
      <c r="E129" s="1522"/>
      <c r="F129" s="1522"/>
      <c r="G129" s="1522"/>
      <c r="H129" s="1522"/>
      <c r="I129" s="1522"/>
      <c r="J129" s="1522"/>
      <c r="K129" s="1524"/>
      <c r="L129"/>
    </row>
    <row r="130" spans="1:12" s="521" customFormat="1" ht="20.100000000000001" customHeight="1" x14ac:dyDescent="0.25">
      <c r="A130"/>
      <c r="B130" s="649" t="s">
        <v>1343</v>
      </c>
      <c r="C130" s="403"/>
      <c r="D130" s="403"/>
      <c r="E130" s="403"/>
      <c r="F130" s="403"/>
      <c r="G130" s="403"/>
      <c r="H130" s="403"/>
      <c r="I130" s="403"/>
      <c r="J130" s="403"/>
      <c r="K130" s="403"/>
      <c r="L130"/>
    </row>
    <row r="131" spans="1:12" s="401" customFormat="1" outlineLevel="1" x14ac:dyDescent="0.25">
      <c r="A131"/>
      <c r="B131" s="431" t="s">
        <v>681</v>
      </c>
      <c r="C131" s="405"/>
      <c r="D131" s="405"/>
      <c r="E131" s="405"/>
      <c r="F131" s="405"/>
      <c r="G131" s="405"/>
      <c r="H131" s="405"/>
      <c r="I131" s="405"/>
      <c r="J131" s="405"/>
      <c r="K131" s="405"/>
      <c r="L131"/>
    </row>
    <row r="132" spans="1:12" s="401" customFormat="1" outlineLevel="1" x14ac:dyDescent="0.25">
      <c r="A132"/>
      <c r="B132" s="406" t="s">
        <v>682</v>
      </c>
      <c r="C132" s="1518"/>
      <c r="D132" s="1519"/>
      <c r="E132" s="1519"/>
      <c r="F132" s="1519"/>
      <c r="G132" s="1519"/>
      <c r="H132" s="1519"/>
      <c r="I132" s="1519"/>
      <c r="J132" s="1519"/>
      <c r="K132" s="1520"/>
      <c r="L132"/>
    </row>
    <row r="133" spans="1:12" s="401" customFormat="1" outlineLevel="1" x14ac:dyDescent="0.25">
      <c r="A133"/>
      <c r="B133" s="410" t="s">
        <v>683</v>
      </c>
      <c r="C133" s="411"/>
      <c r="D133" s="411"/>
      <c r="E133" s="411"/>
      <c r="F133" s="411"/>
      <c r="G133" s="411"/>
      <c r="H133" s="411"/>
      <c r="I133" s="411"/>
      <c r="J133" s="411"/>
      <c r="K133" s="411"/>
      <c r="L133"/>
    </row>
    <row r="134" spans="1:12" s="401" customFormat="1" outlineLevel="1" x14ac:dyDescent="0.25">
      <c r="A134"/>
      <c r="B134" s="412" t="s">
        <v>684</v>
      </c>
      <c r="C134" s="413">
        <v>0</v>
      </c>
      <c r="D134" s="414">
        <v>0</v>
      </c>
      <c r="E134" s="414">
        <v>0</v>
      </c>
      <c r="F134" s="414">
        <v>0</v>
      </c>
      <c r="G134" s="414">
        <v>0</v>
      </c>
      <c r="H134" s="414">
        <v>0</v>
      </c>
      <c r="I134" s="414">
        <v>0</v>
      </c>
      <c r="J134" s="414">
        <v>0</v>
      </c>
      <c r="K134" s="415">
        <v>0</v>
      </c>
      <c r="L134"/>
    </row>
    <row r="135" spans="1:12" s="401" customFormat="1" outlineLevel="1" x14ac:dyDescent="0.25">
      <c r="A135"/>
      <c r="B135" s="412" t="s">
        <v>685</v>
      </c>
      <c r="C135" s="416">
        <v>0</v>
      </c>
      <c r="D135" s="417">
        <v>0</v>
      </c>
      <c r="E135" s="417">
        <v>0</v>
      </c>
      <c r="F135" s="417">
        <v>0</v>
      </c>
      <c r="G135" s="417">
        <v>0</v>
      </c>
      <c r="H135" s="417">
        <v>0</v>
      </c>
      <c r="I135" s="417">
        <v>0</v>
      </c>
      <c r="J135" s="417">
        <v>0</v>
      </c>
      <c r="K135" s="418">
        <v>0</v>
      </c>
      <c r="L135"/>
    </row>
    <row r="136" spans="1:12" s="401" customFormat="1" outlineLevel="1" x14ac:dyDescent="0.25">
      <c r="A136"/>
      <c r="B136" s="412" t="s">
        <v>686</v>
      </c>
      <c r="C136" s="419">
        <v>0</v>
      </c>
      <c r="D136" s="420">
        <v>0</v>
      </c>
      <c r="E136" s="420">
        <v>0</v>
      </c>
      <c r="F136" s="420">
        <v>0</v>
      </c>
      <c r="G136" s="420">
        <v>0</v>
      </c>
      <c r="H136" s="420">
        <v>0</v>
      </c>
      <c r="I136" s="420">
        <v>0</v>
      </c>
      <c r="J136" s="420">
        <v>0</v>
      </c>
      <c r="K136" s="421">
        <v>0</v>
      </c>
      <c r="L136"/>
    </row>
    <row r="137" spans="1:12" s="401" customFormat="1" outlineLevel="1" x14ac:dyDescent="0.25">
      <c r="A137"/>
      <c r="B137" s="410" t="s">
        <v>687</v>
      </c>
      <c r="C137" s="411"/>
      <c r="D137" s="411"/>
      <c r="E137" s="411"/>
      <c r="F137" s="411"/>
      <c r="G137" s="411"/>
      <c r="H137" s="411"/>
      <c r="I137" s="411"/>
      <c r="J137" s="411"/>
      <c r="K137" s="411"/>
      <c r="L137"/>
    </row>
    <row r="138" spans="1:12" s="401" customFormat="1" outlineLevel="1" x14ac:dyDescent="0.25">
      <c r="A138"/>
      <c r="B138" s="412" t="s">
        <v>684</v>
      </c>
      <c r="C138" s="413">
        <v>-310918</v>
      </c>
      <c r="D138" s="414">
        <v>0</v>
      </c>
      <c r="E138" s="414">
        <v>0</v>
      </c>
      <c r="F138" s="414">
        <v>0</v>
      </c>
      <c r="G138" s="414">
        <v>0</v>
      </c>
      <c r="H138" s="414">
        <v>0</v>
      </c>
      <c r="I138" s="414">
        <v>0</v>
      </c>
      <c r="J138" s="414">
        <v>0</v>
      </c>
      <c r="K138" s="415">
        <v>0</v>
      </c>
      <c r="L138"/>
    </row>
    <row r="139" spans="1:12" s="401" customFormat="1" outlineLevel="1" x14ac:dyDescent="0.25">
      <c r="A139"/>
      <c r="B139" s="412" t="s">
        <v>685</v>
      </c>
      <c r="C139" s="416">
        <v>0</v>
      </c>
      <c r="D139" s="417">
        <v>0</v>
      </c>
      <c r="E139" s="417">
        <v>0</v>
      </c>
      <c r="F139" s="417">
        <v>0</v>
      </c>
      <c r="G139" s="417">
        <v>0</v>
      </c>
      <c r="H139" s="417">
        <v>0</v>
      </c>
      <c r="I139" s="417">
        <v>0</v>
      </c>
      <c r="J139" s="417">
        <v>0</v>
      </c>
      <c r="K139" s="418">
        <v>0</v>
      </c>
      <c r="L139"/>
    </row>
    <row r="140" spans="1:12" s="401" customFormat="1" outlineLevel="1" x14ac:dyDescent="0.25">
      <c r="A140"/>
      <c r="B140" s="412" t="s">
        <v>686</v>
      </c>
      <c r="C140" s="419">
        <v>0</v>
      </c>
      <c r="D140" s="420">
        <v>0</v>
      </c>
      <c r="E140" s="420">
        <v>0</v>
      </c>
      <c r="F140" s="420">
        <v>0</v>
      </c>
      <c r="G140" s="420">
        <v>0</v>
      </c>
      <c r="H140" s="420">
        <v>0</v>
      </c>
      <c r="I140" s="420">
        <v>0</v>
      </c>
      <c r="J140" s="420">
        <v>0</v>
      </c>
      <c r="K140" s="421">
        <v>0</v>
      </c>
      <c r="L140"/>
    </row>
    <row r="141" spans="1:12" s="401" customFormat="1" outlineLevel="1" x14ac:dyDescent="0.25">
      <c r="A141"/>
      <c r="B141" s="410" t="s">
        <v>688</v>
      </c>
      <c r="C141" s="411"/>
      <c r="D141" s="411"/>
      <c r="E141" s="411"/>
      <c r="F141" s="411"/>
      <c r="G141" s="411"/>
      <c r="H141" s="411"/>
      <c r="I141" s="411"/>
      <c r="J141" s="411"/>
      <c r="K141" s="411"/>
      <c r="L141"/>
    </row>
    <row r="142" spans="1:12" s="401" customFormat="1" outlineLevel="1" x14ac:dyDescent="0.25">
      <c r="A142"/>
      <c r="B142" s="412" t="s">
        <v>684</v>
      </c>
      <c r="C142" s="413">
        <v>0</v>
      </c>
      <c r="D142" s="414">
        <v>0</v>
      </c>
      <c r="E142" s="414">
        <v>0</v>
      </c>
      <c r="F142" s="414">
        <v>0</v>
      </c>
      <c r="G142" s="414">
        <v>0</v>
      </c>
      <c r="H142" s="414">
        <v>0</v>
      </c>
      <c r="I142" s="414">
        <v>0</v>
      </c>
      <c r="J142" s="414">
        <v>0</v>
      </c>
      <c r="K142" s="415">
        <v>0</v>
      </c>
      <c r="L142"/>
    </row>
    <row r="143" spans="1:12" s="401" customFormat="1" outlineLevel="1" x14ac:dyDescent="0.25">
      <c r="A143"/>
      <c r="B143" s="412" t="s">
        <v>685</v>
      </c>
      <c r="C143" s="416">
        <v>0</v>
      </c>
      <c r="D143" s="417">
        <v>0</v>
      </c>
      <c r="E143" s="417">
        <v>0</v>
      </c>
      <c r="F143" s="417">
        <v>0</v>
      </c>
      <c r="G143" s="417">
        <v>0</v>
      </c>
      <c r="H143" s="417">
        <v>0</v>
      </c>
      <c r="I143" s="417">
        <v>0</v>
      </c>
      <c r="J143" s="417">
        <v>0</v>
      </c>
      <c r="K143" s="418">
        <v>0</v>
      </c>
      <c r="L143"/>
    </row>
    <row r="144" spans="1:12" s="401" customFormat="1" outlineLevel="1" x14ac:dyDescent="0.25">
      <c r="A144"/>
      <c r="B144" s="412" t="s">
        <v>686</v>
      </c>
      <c r="C144" s="419">
        <v>0</v>
      </c>
      <c r="D144" s="420">
        <v>0</v>
      </c>
      <c r="E144" s="420">
        <v>0</v>
      </c>
      <c r="F144" s="420">
        <v>0</v>
      </c>
      <c r="G144" s="420">
        <v>0</v>
      </c>
      <c r="H144" s="420">
        <v>0</v>
      </c>
      <c r="I144" s="420">
        <v>0</v>
      </c>
      <c r="J144" s="420">
        <v>0</v>
      </c>
      <c r="K144" s="421">
        <v>0</v>
      </c>
      <c r="L144"/>
    </row>
    <row r="145" spans="1:12" s="401" customFormat="1" outlineLevel="1" x14ac:dyDescent="0.25">
      <c r="A145"/>
      <c r="B145" s="410" t="s">
        <v>689</v>
      </c>
      <c r="C145" s="411"/>
      <c r="D145" s="411"/>
      <c r="E145" s="411"/>
      <c r="F145" s="411"/>
      <c r="G145" s="411"/>
      <c r="H145" s="411"/>
      <c r="I145" s="411"/>
      <c r="J145" s="411"/>
      <c r="K145" s="411"/>
      <c r="L145"/>
    </row>
    <row r="146" spans="1:12" s="401" customFormat="1" outlineLevel="1" x14ac:dyDescent="0.25">
      <c r="A146"/>
      <c r="B146" s="412" t="s">
        <v>684</v>
      </c>
      <c r="C146" s="413">
        <v>0</v>
      </c>
      <c r="D146" s="414">
        <v>0</v>
      </c>
      <c r="E146" s="414">
        <v>0</v>
      </c>
      <c r="F146" s="414">
        <v>0</v>
      </c>
      <c r="G146" s="414">
        <v>0</v>
      </c>
      <c r="H146" s="414">
        <v>0</v>
      </c>
      <c r="I146" s="414">
        <v>0</v>
      </c>
      <c r="J146" s="414">
        <v>0</v>
      </c>
      <c r="K146" s="415">
        <v>0</v>
      </c>
      <c r="L146"/>
    </row>
    <row r="147" spans="1:12" s="401" customFormat="1" outlineLevel="1" x14ac:dyDescent="0.25">
      <c r="A147"/>
      <c r="B147" s="412" t="s">
        <v>685</v>
      </c>
      <c r="C147" s="416">
        <v>0</v>
      </c>
      <c r="D147" s="417">
        <v>0</v>
      </c>
      <c r="E147" s="417">
        <v>0</v>
      </c>
      <c r="F147" s="417">
        <v>0</v>
      </c>
      <c r="G147" s="417">
        <v>0</v>
      </c>
      <c r="H147" s="417">
        <v>0</v>
      </c>
      <c r="I147" s="417">
        <v>0</v>
      </c>
      <c r="J147" s="417">
        <v>0</v>
      </c>
      <c r="K147" s="418">
        <v>0</v>
      </c>
      <c r="L147"/>
    </row>
    <row r="148" spans="1:12" s="401" customFormat="1" outlineLevel="1" x14ac:dyDescent="0.25">
      <c r="A148"/>
      <c r="B148" s="412" t="s">
        <v>686</v>
      </c>
      <c r="C148" s="416">
        <v>0</v>
      </c>
      <c r="D148" s="417">
        <v>0</v>
      </c>
      <c r="E148" s="417">
        <v>0</v>
      </c>
      <c r="F148" s="417">
        <v>0</v>
      </c>
      <c r="G148" s="417">
        <v>0</v>
      </c>
      <c r="H148" s="417">
        <v>0</v>
      </c>
      <c r="I148" s="417">
        <v>0</v>
      </c>
      <c r="J148" s="417">
        <v>0</v>
      </c>
      <c r="K148" s="418">
        <v>0</v>
      </c>
      <c r="L148"/>
    </row>
    <row r="149" spans="1:12" s="401" customFormat="1" ht="22.5" customHeight="1" outlineLevel="1" thickBot="1" x14ac:dyDescent="0.3">
      <c r="A149"/>
      <c r="B149" s="422" t="s">
        <v>690</v>
      </c>
      <c r="C149" s="1521"/>
      <c r="D149" s="1522"/>
      <c r="E149" s="1522"/>
      <c r="F149" s="1522"/>
      <c r="G149" s="1522"/>
      <c r="H149" s="1522"/>
      <c r="I149" s="1522"/>
      <c r="J149" s="1522"/>
      <c r="K149" s="1523"/>
      <c r="L149"/>
    </row>
    <row r="150" spans="1:12" s="521" customFormat="1" ht="20.100000000000001" customHeight="1" x14ac:dyDescent="0.25">
      <c r="A150"/>
      <c r="B150" s="649" t="s">
        <v>680</v>
      </c>
      <c r="C150" s="403"/>
      <c r="D150" s="403"/>
      <c r="E150" s="403"/>
      <c r="F150" s="403"/>
      <c r="G150" s="403"/>
      <c r="H150" s="403"/>
      <c r="I150" s="403"/>
      <c r="J150" s="403"/>
      <c r="K150" s="403"/>
      <c r="L150"/>
    </row>
    <row r="151" spans="1:12" s="401" customFormat="1" outlineLevel="1" x14ac:dyDescent="0.25">
      <c r="A151"/>
      <c r="B151" s="431" t="s">
        <v>681</v>
      </c>
      <c r="C151" s="405"/>
      <c r="D151" s="405"/>
      <c r="E151" s="405"/>
      <c r="F151" s="405"/>
      <c r="G151" s="405"/>
      <c r="H151" s="405"/>
      <c r="I151" s="405"/>
      <c r="J151" s="405"/>
      <c r="K151" s="405"/>
      <c r="L151"/>
    </row>
    <row r="152" spans="1:12" s="401" customFormat="1" outlineLevel="1" x14ac:dyDescent="0.25">
      <c r="A152"/>
      <c r="B152" s="406" t="s">
        <v>682</v>
      </c>
      <c r="C152" s="407">
        <v>0</v>
      </c>
      <c r="D152" s="408">
        <v>0</v>
      </c>
      <c r="E152" s="408">
        <v>0</v>
      </c>
      <c r="F152" s="1411">
        <v>0</v>
      </c>
      <c r="G152" s="1411">
        <v>0</v>
      </c>
      <c r="H152" s="1411">
        <v>0</v>
      </c>
      <c r="I152" s="1411">
        <v>0</v>
      </c>
      <c r="J152" s="1411">
        <v>0</v>
      </c>
      <c r="K152" s="1411">
        <v>0</v>
      </c>
      <c r="L152"/>
    </row>
    <row r="153" spans="1:12" s="401" customFormat="1" outlineLevel="1" x14ac:dyDescent="0.25">
      <c r="A153"/>
      <c r="B153" s="410" t="s">
        <v>683</v>
      </c>
      <c r="C153" s="411"/>
      <c r="D153" s="411"/>
      <c r="E153" s="411"/>
      <c r="F153" s="411"/>
      <c r="G153" s="411"/>
      <c r="H153" s="411"/>
      <c r="I153" s="411"/>
      <c r="J153" s="411"/>
      <c r="K153" s="411"/>
      <c r="L153"/>
    </row>
    <row r="154" spans="1:12" s="401" customFormat="1" outlineLevel="1" x14ac:dyDescent="0.25">
      <c r="A154"/>
      <c r="B154" s="412" t="s">
        <v>684</v>
      </c>
      <c r="C154" s="413">
        <v>0</v>
      </c>
      <c r="D154" s="414">
        <v>0</v>
      </c>
      <c r="E154" s="414">
        <v>0</v>
      </c>
      <c r="F154" s="1412">
        <v>0</v>
      </c>
      <c r="G154" s="1412">
        <v>0</v>
      </c>
      <c r="H154" s="1412">
        <v>0</v>
      </c>
      <c r="I154" s="1412">
        <v>0</v>
      </c>
      <c r="J154" s="1412">
        <v>0</v>
      </c>
      <c r="K154" s="1412">
        <v>0</v>
      </c>
      <c r="L154"/>
    </row>
    <row r="155" spans="1:12" s="401" customFormat="1" outlineLevel="1" x14ac:dyDescent="0.25">
      <c r="A155"/>
      <c r="B155" s="412" t="s">
        <v>685</v>
      </c>
      <c r="C155" s="416">
        <v>0</v>
      </c>
      <c r="D155" s="417"/>
      <c r="E155" s="417">
        <v>0</v>
      </c>
      <c r="F155" s="1413">
        <v>0</v>
      </c>
      <c r="G155" s="1413">
        <v>0</v>
      </c>
      <c r="H155" s="1413">
        <v>0</v>
      </c>
      <c r="I155" s="1413">
        <v>0</v>
      </c>
      <c r="J155" s="1413">
        <v>0</v>
      </c>
      <c r="K155" s="1413">
        <v>0</v>
      </c>
      <c r="L155"/>
    </row>
    <row r="156" spans="1:12" s="401" customFormat="1" outlineLevel="1" x14ac:dyDescent="0.25">
      <c r="A156"/>
      <c r="B156" s="412" t="s">
        <v>686</v>
      </c>
      <c r="C156" s="419">
        <v>0</v>
      </c>
      <c r="D156" s="420">
        <v>0</v>
      </c>
      <c r="E156" s="420">
        <v>0</v>
      </c>
      <c r="F156" s="1414">
        <v>0</v>
      </c>
      <c r="G156" s="1414">
        <v>0</v>
      </c>
      <c r="H156" s="1414">
        <v>0</v>
      </c>
      <c r="I156" s="1414">
        <v>0</v>
      </c>
      <c r="J156" s="1414">
        <v>0</v>
      </c>
      <c r="K156" s="1414">
        <v>0</v>
      </c>
      <c r="L156"/>
    </row>
    <row r="157" spans="1:12" s="401" customFormat="1" outlineLevel="1" x14ac:dyDescent="0.25">
      <c r="A157"/>
      <c r="B157" s="410" t="s">
        <v>687</v>
      </c>
      <c r="C157" s="411"/>
      <c r="D157" s="411"/>
      <c r="E157" s="411"/>
      <c r="F157" s="411"/>
      <c r="G157" s="411"/>
      <c r="H157" s="411"/>
      <c r="I157" s="411"/>
      <c r="J157" s="411"/>
      <c r="K157" s="411"/>
      <c r="L157"/>
    </row>
    <row r="158" spans="1:12" s="401" customFormat="1" outlineLevel="1" x14ac:dyDescent="0.25">
      <c r="A158"/>
      <c r="B158" s="412" t="s">
        <v>684</v>
      </c>
      <c r="C158" s="413">
        <v>0</v>
      </c>
      <c r="D158" s="414">
        <v>0</v>
      </c>
      <c r="E158" s="414">
        <v>0</v>
      </c>
      <c r="F158" s="1412">
        <v>0</v>
      </c>
      <c r="G158" s="1412">
        <v>0</v>
      </c>
      <c r="H158" s="1412">
        <v>0</v>
      </c>
      <c r="I158" s="1412">
        <v>0</v>
      </c>
      <c r="J158" s="1412">
        <v>0</v>
      </c>
      <c r="K158" s="1412">
        <v>0</v>
      </c>
      <c r="L158"/>
    </row>
    <row r="159" spans="1:12" s="401" customFormat="1" outlineLevel="1" x14ac:dyDescent="0.25">
      <c r="A159"/>
      <c r="B159" s="412" t="s">
        <v>685</v>
      </c>
      <c r="C159" s="416">
        <v>0</v>
      </c>
      <c r="D159" s="417">
        <v>0</v>
      </c>
      <c r="E159" s="417">
        <v>0</v>
      </c>
      <c r="F159" s="1413">
        <v>0</v>
      </c>
      <c r="G159" s="1413">
        <v>0</v>
      </c>
      <c r="H159" s="1413">
        <v>0</v>
      </c>
      <c r="I159" s="1413">
        <v>0</v>
      </c>
      <c r="J159" s="1413">
        <v>0</v>
      </c>
      <c r="K159" s="1413">
        <v>0</v>
      </c>
      <c r="L159"/>
    </row>
    <row r="160" spans="1:12" s="401" customFormat="1" outlineLevel="1" x14ac:dyDescent="0.25">
      <c r="A160"/>
      <c r="B160" s="412" t="s">
        <v>686</v>
      </c>
      <c r="C160" s="419">
        <v>0</v>
      </c>
      <c r="D160" s="420">
        <v>0</v>
      </c>
      <c r="E160" s="420">
        <v>0</v>
      </c>
      <c r="F160" s="1414">
        <v>0</v>
      </c>
      <c r="G160" s="1414">
        <v>0</v>
      </c>
      <c r="H160" s="1414">
        <v>0</v>
      </c>
      <c r="I160" s="1414">
        <v>0</v>
      </c>
      <c r="J160" s="1414">
        <v>0</v>
      </c>
      <c r="K160" s="1414">
        <v>0</v>
      </c>
      <c r="L160"/>
    </row>
    <row r="161" spans="1:12" s="401" customFormat="1" outlineLevel="1" x14ac:dyDescent="0.25">
      <c r="A161"/>
      <c r="B161" s="410" t="s">
        <v>688</v>
      </c>
      <c r="C161" s="411"/>
      <c r="D161" s="411"/>
      <c r="E161" s="411"/>
      <c r="F161" s="411"/>
      <c r="G161" s="411"/>
      <c r="H161" s="411"/>
      <c r="I161" s="411"/>
      <c r="J161" s="411"/>
      <c r="K161" s="411"/>
      <c r="L161"/>
    </row>
    <row r="162" spans="1:12" s="401" customFormat="1" outlineLevel="1" x14ac:dyDescent="0.25">
      <c r="A162"/>
      <c r="B162" s="412" t="s">
        <v>684</v>
      </c>
      <c r="C162" s="413">
        <v>0</v>
      </c>
      <c r="D162" s="414">
        <v>0</v>
      </c>
      <c r="E162" s="414">
        <v>0</v>
      </c>
      <c r="F162" s="1412">
        <v>0</v>
      </c>
      <c r="G162" s="1412">
        <v>0</v>
      </c>
      <c r="H162" s="1412">
        <v>0</v>
      </c>
      <c r="I162" s="1412">
        <v>0</v>
      </c>
      <c r="J162" s="1412">
        <v>0</v>
      </c>
      <c r="K162" s="1412">
        <v>0</v>
      </c>
      <c r="L162"/>
    </row>
    <row r="163" spans="1:12" s="401" customFormat="1" outlineLevel="1" x14ac:dyDescent="0.25">
      <c r="A163"/>
      <c r="B163" s="412" t="s">
        <v>685</v>
      </c>
      <c r="C163" s="416">
        <v>0</v>
      </c>
      <c r="D163" s="417">
        <v>0</v>
      </c>
      <c r="E163" s="417">
        <v>0</v>
      </c>
      <c r="F163" s="1413">
        <v>0</v>
      </c>
      <c r="G163" s="1413">
        <v>0</v>
      </c>
      <c r="H163" s="1413">
        <v>0</v>
      </c>
      <c r="I163" s="1413">
        <v>0</v>
      </c>
      <c r="J163" s="1413">
        <v>0</v>
      </c>
      <c r="K163" s="1413">
        <v>0</v>
      </c>
      <c r="L163"/>
    </row>
    <row r="164" spans="1:12" s="401" customFormat="1" outlineLevel="1" x14ac:dyDescent="0.25">
      <c r="A164"/>
      <c r="B164" s="412" t="s">
        <v>686</v>
      </c>
      <c r="C164" s="419">
        <v>0</v>
      </c>
      <c r="D164" s="420">
        <v>0</v>
      </c>
      <c r="E164" s="420">
        <v>0</v>
      </c>
      <c r="F164" s="1414">
        <v>0</v>
      </c>
      <c r="G164" s="1414">
        <v>0</v>
      </c>
      <c r="H164" s="1414">
        <v>0</v>
      </c>
      <c r="I164" s="1414">
        <v>0</v>
      </c>
      <c r="J164" s="1414">
        <v>0</v>
      </c>
      <c r="K164" s="1414">
        <v>0</v>
      </c>
      <c r="L164"/>
    </row>
    <row r="165" spans="1:12" s="401" customFormat="1" outlineLevel="1" x14ac:dyDescent="0.25">
      <c r="A165"/>
      <c r="B165" s="410" t="s">
        <v>689</v>
      </c>
      <c r="C165" s="411"/>
      <c r="D165" s="411"/>
      <c r="E165" s="411"/>
      <c r="F165" s="411"/>
      <c r="G165" s="411"/>
      <c r="H165" s="411"/>
      <c r="I165" s="411"/>
      <c r="J165" s="411"/>
      <c r="K165" s="411"/>
      <c r="L165"/>
    </row>
    <row r="166" spans="1:12" s="401" customFormat="1" outlineLevel="1" x14ac:dyDescent="0.25">
      <c r="A166"/>
      <c r="B166" s="412" t="s">
        <v>684</v>
      </c>
      <c r="C166" s="413">
        <v>0</v>
      </c>
      <c r="D166" s="414">
        <v>0</v>
      </c>
      <c r="E166" s="414">
        <v>0</v>
      </c>
      <c r="F166" s="1412">
        <v>0</v>
      </c>
      <c r="G166" s="1412">
        <v>0</v>
      </c>
      <c r="H166" s="1412">
        <v>0</v>
      </c>
      <c r="I166" s="1412">
        <v>0</v>
      </c>
      <c r="J166" s="1412">
        <v>0</v>
      </c>
      <c r="K166" s="1412">
        <v>0</v>
      </c>
      <c r="L166"/>
    </row>
    <row r="167" spans="1:12" s="401" customFormat="1" outlineLevel="1" x14ac:dyDescent="0.25">
      <c r="A167"/>
      <c r="B167" s="412" t="s">
        <v>685</v>
      </c>
      <c r="C167" s="416">
        <v>0</v>
      </c>
      <c r="D167" s="417">
        <v>0</v>
      </c>
      <c r="E167" s="417">
        <v>0</v>
      </c>
      <c r="F167" s="1413">
        <v>0</v>
      </c>
      <c r="G167" s="1413">
        <v>0</v>
      </c>
      <c r="H167" s="1413">
        <v>0</v>
      </c>
      <c r="I167" s="1413">
        <v>0</v>
      </c>
      <c r="J167" s="1413">
        <v>0</v>
      </c>
      <c r="K167" s="1413">
        <v>0</v>
      </c>
      <c r="L167"/>
    </row>
    <row r="168" spans="1:12" s="401" customFormat="1" outlineLevel="1" x14ac:dyDescent="0.25">
      <c r="A168"/>
      <c r="B168" s="412" t="s">
        <v>686</v>
      </c>
      <c r="C168" s="416">
        <v>0</v>
      </c>
      <c r="D168" s="417">
        <v>0</v>
      </c>
      <c r="E168" s="417">
        <v>0</v>
      </c>
      <c r="F168" s="1413">
        <v>0</v>
      </c>
      <c r="G168" s="1413">
        <v>0</v>
      </c>
      <c r="H168" s="1413">
        <v>0</v>
      </c>
      <c r="I168" s="1413">
        <v>0</v>
      </c>
      <c r="J168" s="1413">
        <v>0</v>
      </c>
      <c r="K168" s="1413">
        <v>0</v>
      </c>
      <c r="L168"/>
    </row>
    <row r="169" spans="1:12" s="401" customFormat="1" ht="22.5" customHeight="1" outlineLevel="1" thickBot="1" x14ac:dyDescent="0.3">
      <c r="A169"/>
      <c r="B169" s="422" t="s">
        <v>690</v>
      </c>
      <c r="C169" s="419">
        <v>0</v>
      </c>
      <c r="D169" s="420">
        <v>0</v>
      </c>
      <c r="E169" s="420">
        <v>0</v>
      </c>
      <c r="F169" s="1414">
        <v>0</v>
      </c>
      <c r="G169" s="1414">
        <v>0</v>
      </c>
      <c r="H169" s="1414">
        <v>0</v>
      </c>
      <c r="I169" s="1414">
        <v>0</v>
      </c>
      <c r="J169" s="1414">
        <v>0</v>
      </c>
      <c r="K169" s="1414">
        <v>0</v>
      </c>
      <c r="L169"/>
    </row>
    <row r="170" spans="1:12" s="521" customFormat="1" ht="20.100000000000001" customHeight="1" x14ac:dyDescent="0.25">
      <c r="A170"/>
      <c r="B170" s="649" t="s">
        <v>680</v>
      </c>
      <c r="C170" s="403"/>
      <c r="D170" s="403"/>
      <c r="E170" s="403"/>
      <c r="F170" s="403"/>
      <c r="G170" s="403"/>
      <c r="H170" s="403"/>
      <c r="I170" s="403"/>
      <c r="J170" s="403"/>
      <c r="K170" s="403"/>
      <c r="L170"/>
    </row>
    <row r="171" spans="1:12" s="401" customFormat="1" outlineLevel="1" x14ac:dyDescent="0.25">
      <c r="A171"/>
      <c r="B171" s="431" t="s">
        <v>681</v>
      </c>
      <c r="C171" s="405"/>
      <c r="D171" s="405"/>
      <c r="E171" s="405"/>
      <c r="F171" s="405"/>
      <c r="G171" s="405"/>
      <c r="H171" s="405"/>
      <c r="I171" s="405"/>
      <c r="J171" s="405"/>
      <c r="K171" s="405"/>
      <c r="L171"/>
    </row>
    <row r="172" spans="1:12" s="401" customFormat="1" outlineLevel="1" x14ac:dyDescent="0.25">
      <c r="A172"/>
      <c r="B172" s="406" t="s">
        <v>682</v>
      </c>
      <c r="C172" s="407"/>
      <c r="D172" s="408"/>
      <c r="E172" s="408"/>
      <c r="F172" s="408"/>
      <c r="G172" s="408"/>
      <c r="H172" s="408"/>
      <c r="I172" s="408"/>
      <c r="J172" s="408"/>
      <c r="K172" s="409"/>
      <c r="L172"/>
    </row>
    <row r="173" spans="1:12" s="401" customFormat="1" outlineLevel="1" x14ac:dyDescent="0.25">
      <c r="A173"/>
      <c r="B173" s="410" t="s">
        <v>683</v>
      </c>
      <c r="C173" s="411"/>
      <c r="D173" s="411"/>
      <c r="E173" s="411"/>
      <c r="F173" s="411"/>
      <c r="G173" s="411"/>
      <c r="H173" s="411"/>
      <c r="I173" s="411"/>
      <c r="J173" s="411"/>
      <c r="K173" s="411"/>
      <c r="L173"/>
    </row>
    <row r="174" spans="1:12" s="401" customFormat="1" outlineLevel="1" x14ac:dyDescent="0.25">
      <c r="A174"/>
      <c r="B174" s="412" t="s">
        <v>684</v>
      </c>
      <c r="C174" s="413"/>
      <c r="D174" s="414"/>
      <c r="E174" s="414"/>
      <c r="F174" s="414"/>
      <c r="G174" s="414"/>
      <c r="H174" s="414"/>
      <c r="I174" s="414"/>
      <c r="J174" s="414"/>
      <c r="K174" s="415"/>
      <c r="L174"/>
    </row>
    <row r="175" spans="1:12" s="401" customFormat="1" outlineLevel="1" x14ac:dyDescent="0.25">
      <c r="A175"/>
      <c r="B175" s="412" t="s">
        <v>685</v>
      </c>
      <c r="C175" s="416"/>
      <c r="D175" s="417"/>
      <c r="E175" s="417"/>
      <c r="F175" s="417"/>
      <c r="G175" s="417"/>
      <c r="H175" s="417"/>
      <c r="I175" s="417"/>
      <c r="J175" s="417"/>
      <c r="K175" s="418"/>
      <c r="L175"/>
    </row>
    <row r="176" spans="1:12" s="401" customFormat="1" outlineLevel="1" x14ac:dyDescent="0.25">
      <c r="A176"/>
      <c r="B176" s="412" t="s">
        <v>686</v>
      </c>
      <c r="C176" s="419"/>
      <c r="D176" s="420"/>
      <c r="E176" s="420"/>
      <c r="F176" s="420"/>
      <c r="G176" s="420"/>
      <c r="H176" s="420"/>
      <c r="I176" s="420"/>
      <c r="J176" s="420"/>
      <c r="K176" s="421"/>
      <c r="L176"/>
    </row>
    <row r="177" spans="1:12" s="401" customFormat="1" outlineLevel="1" x14ac:dyDescent="0.25">
      <c r="A177"/>
      <c r="B177" s="410" t="s">
        <v>687</v>
      </c>
      <c r="C177" s="411"/>
      <c r="D177" s="411"/>
      <c r="E177" s="411"/>
      <c r="F177" s="411"/>
      <c r="G177" s="411"/>
      <c r="H177" s="411"/>
      <c r="I177" s="411"/>
      <c r="J177" s="411"/>
      <c r="K177" s="411"/>
      <c r="L177"/>
    </row>
    <row r="178" spans="1:12" s="401" customFormat="1" outlineLevel="1" x14ac:dyDescent="0.25">
      <c r="A178"/>
      <c r="B178" s="412" t="s">
        <v>684</v>
      </c>
      <c r="C178" s="413"/>
      <c r="D178" s="414"/>
      <c r="E178" s="414"/>
      <c r="F178" s="414"/>
      <c r="G178" s="414"/>
      <c r="H178" s="414"/>
      <c r="I178" s="414"/>
      <c r="J178" s="414"/>
      <c r="K178" s="415"/>
      <c r="L178"/>
    </row>
    <row r="179" spans="1:12" s="401" customFormat="1" outlineLevel="1" x14ac:dyDescent="0.25">
      <c r="A179"/>
      <c r="B179" s="412" t="s">
        <v>685</v>
      </c>
      <c r="C179" s="416"/>
      <c r="D179" s="417"/>
      <c r="E179" s="417"/>
      <c r="F179" s="417"/>
      <c r="G179" s="417"/>
      <c r="H179" s="417"/>
      <c r="I179" s="417"/>
      <c r="J179" s="417"/>
      <c r="K179" s="418"/>
      <c r="L179"/>
    </row>
    <row r="180" spans="1:12" s="401" customFormat="1" outlineLevel="1" x14ac:dyDescent="0.25">
      <c r="A180"/>
      <c r="B180" s="412" t="s">
        <v>686</v>
      </c>
      <c r="C180" s="419"/>
      <c r="D180" s="420"/>
      <c r="E180" s="420"/>
      <c r="F180" s="420"/>
      <c r="G180" s="420"/>
      <c r="H180" s="420"/>
      <c r="I180" s="420"/>
      <c r="J180" s="420"/>
      <c r="K180" s="421"/>
      <c r="L180"/>
    </row>
    <row r="181" spans="1:12" s="401" customFormat="1" outlineLevel="1" x14ac:dyDescent="0.25">
      <c r="A181"/>
      <c r="B181" s="410" t="s">
        <v>688</v>
      </c>
      <c r="C181" s="411"/>
      <c r="D181" s="411"/>
      <c r="E181" s="411"/>
      <c r="F181" s="411"/>
      <c r="G181" s="411"/>
      <c r="H181" s="411"/>
      <c r="I181" s="411"/>
      <c r="J181" s="411"/>
      <c r="K181" s="411"/>
      <c r="L181"/>
    </row>
    <row r="182" spans="1:12" s="401" customFormat="1" outlineLevel="1" x14ac:dyDescent="0.25">
      <c r="A182"/>
      <c r="B182" s="412" t="s">
        <v>684</v>
      </c>
      <c r="C182" s="413"/>
      <c r="D182" s="414"/>
      <c r="E182" s="414"/>
      <c r="F182" s="414"/>
      <c r="G182" s="414"/>
      <c r="H182" s="414"/>
      <c r="I182" s="414"/>
      <c r="J182" s="414"/>
      <c r="K182" s="415"/>
      <c r="L182"/>
    </row>
    <row r="183" spans="1:12" s="401" customFormat="1" outlineLevel="1" x14ac:dyDescent="0.25">
      <c r="A183"/>
      <c r="B183" s="412" t="s">
        <v>685</v>
      </c>
      <c r="C183" s="416"/>
      <c r="D183" s="417"/>
      <c r="E183" s="417"/>
      <c r="F183" s="417"/>
      <c r="G183" s="417"/>
      <c r="H183" s="417"/>
      <c r="I183" s="417"/>
      <c r="J183" s="417"/>
      <c r="K183" s="418"/>
      <c r="L183"/>
    </row>
    <row r="184" spans="1:12" s="401" customFormat="1" outlineLevel="1" x14ac:dyDescent="0.25">
      <c r="A184"/>
      <c r="B184" s="412" t="s">
        <v>686</v>
      </c>
      <c r="C184" s="419"/>
      <c r="D184" s="420"/>
      <c r="E184" s="420"/>
      <c r="F184" s="420"/>
      <c r="G184" s="420"/>
      <c r="H184" s="420"/>
      <c r="I184" s="420"/>
      <c r="J184" s="420"/>
      <c r="K184" s="421"/>
      <c r="L184"/>
    </row>
    <row r="185" spans="1:12" s="401" customFormat="1" outlineLevel="1" x14ac:dyDescent="0.25">
      <c r="A185"/>
      <c r="B185" s="410" t="s">
        <v>689</v>
      </c>
      <c r="C185" s="411"/>
      <c r="D185" s="411"/>
      <c r="E185" s="411"/>
      <c r="F185" s="411"/>
      <c r="G185" s="411"/>
      <c r="H185" s="411"/>
      <c r="I185" s="411"/>
      <c r="J185" s="411"/>
      <c r="K185" s="411"/>
      <c r="L185"/>
    </row>
    <row r="186" spans="1:12" s="401" customFormat="1" outlineLevel="1" x14ac:dyDescent="0.25">
      <c r="A186"/>
      <c r="B186" s="412" t="s">
        <v>684</v>
      </c>
      <c r="C186" s="413"/>
      <c r="D186" s="414"/>
      <c r="E186" s="414"/>
      <c r="F186" s="414"/>
      <c r="G186" s="414"/>
      <c r="H186" s="414"/>
      <c r="I186" s="414"/>
      <c r="J186" s="414"/>
      <c r="K186" s="415"/>
      <c r="L186"/>
    </row>
    <row r="187" spans="1:12" s="401" customFormat="1" outlineLevel="1" x14ac:dyDescent="0.25">
      <c r="A187"/>
      <c r="B187" s="412" t="s">
        <v>685</v>
      </c>
      <c r="C187" s="416"/>
      <c r="D187" s="417"/>
      <c r="E187" s="417"/>
      <c r="F187" s="417"/>
      <c r="G187" s="417"/>
      <c r="H187" s="417"/>
      <c r="I187" s="417"/>
      <c r="J187" s="417"/>
      <c r="K187" s="418"/>
      <c r="L187"/>
    </row>
    <row r="188" spans="1:12" s="401" customFormat="1" outlineLevel="1" x14ac:dyDescent="0.25">
      <c r="A188"/>
      <c r="B188" s="412" t="s">
        <v>686</v>
      </c>
      <c r="C188" s="416"/>
      <c r="D188" s="417"/>
      <c r="E188" s="417"/>
      <c r="F188" s="417"/>
      <c r="G188" s="417"/>
      <c r="H188" s="417"/>
      <c r="I188" s="417"/>
      <c r="J188" s="417"/>
      <c r="K188" s="418"/>
      <c r="L188"/>
    </row>
    <row r="189" spans="1:12" s="401" customFormat="1" ht="22.5" customHeight="1" outlineLevel="1" thickBot="1" x14ac:dyDescent="0.3">
      <c r="A189"/>
      <c r="B189" s="422" t="s">
        <v>690</v>
      </c>
      <c r="C189" s="419"/>
      <c r="D189" s="420"/>
      <c r="E189" s="420"/>
      <c r="F189" s="420"/>
      <c r="G189" s="420"/>
      <c r="H189" s="420"/>
      <c r="I189" s="420"/>
      <c r="J189" s="420"/>
      <c r="K189" s="421"/>
      <c r="L189"/>
    </row>
    <row r="190" spans="1:12" s="521" customFormat="1" ht="20.100000000000001" customHeight="1" x14ac:dyDescent="0.25">
      <c r="A190"/>
      <c r="B190" s="649" t="s">
        <v>680</v>
      </c>
      <c r="C190" s="403"/>
      <c r="D190" s="403"/>
      <c r="E190" s="403"/>
      <c r="F190" s="403"/>
      <c r="G190" s="403"/>
      <c r="H190" s="403"/>
      <c r="I190" s="403"/>
      <c r="J190" s="403"/>
      <c r="K190" s="403"/>
      <c r="L190"/>
    </row>
    <row r="191" spans="1:12" s="401" customFormat="1" outlineLevel="1" x14ac:dyDescent="0.25">
      <c r="A191"/>
      <c r="B191" s="431" t="s">
        <v>681</v>
      </c>
      <c r="C191" s="405"/>
      <c r="D191" s="405"/>
      <c r="E191" s="405"/>
      <c r="F191" s="405"/>
      <c r="G191" s="405"/>
      <c r="H191" s="405"/>
      <c r="I191" s="405"/>
      <c r="J191" s="405"/>
      <c r="K191" s="405"/>
      <c r="L191"/>
    </row>
    <row r="192" spans="1:12" s="401" customFormat="1" outlineLevel="1" x14ac:dyDescent="0.25">
      <c r="A192"/>
      <c r="B192" s="406" t="s">
        <v>682</v>
      </c>
      <c r="C192" s="407"/>
      <c r="D192" s="408"/>
      <c r="E192" s="408"/>
      <c r="F192" s="408"/>
      <c r="G192" s="408"/>
      <c r="H192" s="408"/>
      <c r="I192" s="408"/>
      <c r="J192" s="408"/>
      <c r="K192" s="409"/>
      <c r="L192"/>
    </row>
    <row r="193" spans="1:12" s="401" customFormat="1" outlineLevel="1" x14ac:dyDescent="0.25">
      <c r="A193"/>
      <c r="B193" s="410" t="s">
        <v>683</v>
      </c>
      <c r="C193" s="411"/>
      <c r="D193" s="411"/>
      <c r="E193" s="411"/>
      <c r="F193" s="411"/>
      <c r="G193" s="411"/>
      <c r="H193" s="411"/>
      <c r="I193" s="411"/>
      <c r="J193" s="411"/>
      <c r="K193" s="411"/>
      <c r="L193"/>
    </row>
    <row r="194" spans="1:12" s="401" customFormat="1" outlineLevel="1" x14ac:dyDescent="0.25">
      <c r="A194"/>
      <c r="B194" s="412" t="s">
        <v>684</v>
      </c>
      <c r="C194" s="413"/>
      <c r="D194" s="414"/>
      <c r="E194" s="414"/>
      <c r="F194" s="414"/>
      <c r="G194" s="414"/>
      <c r="H194" s="414"/>
      <c r="I194" s="414"/>
      <c r="J194" s="414"/>
      <c r="K194" s="415"/>
      <c r="L194"/>
    </row>
    <row r="195" spans="1:12" s="401" customFormat="1" outlineLevel="1" x14ac:dyDescent="0.25">
      <c r="A195"/>
      <c r="B195" s="412" t="s">
        <v>685</v>
      </c>
      <c r="C195" s="416"/>
      <c r="D195" s="417"/>
      <c r="E195" s="417"/>
      <c r="F195" s="417"/>
      <c r="G195" s="417"/>
      <c r="H195" s="417"/>
      <c r="I195" s="417"/>
      <c r="J195" s="417"/>
      <c r="K195" s="418"/>
      <c r="L195"/>
    </row>
    <row r="196" spans="1:12" s="401" customFormat="1" outlineLevel="1" x14ac:dyDescent="0.25">
      <c r="A196"/>
      <c r="B196" s="412" t="s">
        <v>686</v>
      </c>
      <c r="C196" s="419"/>
      <c r="D196" s="420"/>
      <c r="E196" s="420"/>
      <c r="F196" s="420"/>
      <c r="G196" s="420"/>
      <c r="H196" s="420"/>
      <c r="I196" s="420"/>
      <c r="J196" s="420"/>
      <c r="K196" s="421"/>
      <c r="L196"/>
    </row>
    <row r="197" spans="1:12" s="401" customFormat="1" outlineLevel="1" x14ac:dyDescent="0.25">
      <c r="A197"/>
      <c r="B197" s="410" t="s">
        <v>687</v>
      </c>
      <c r="C197" s="411"/>
      <c r="D197" s="411"/>
      <c r="E197" s="411"/>
      <c r="F197" s="411"/>
      <c r="G197" s="411"/>
      <c r="H197" s="411"/>
      <c r="I197" s="411"/>
      <c r="J197" s="411"/>
      <c r="K197" s="411"/>
      <c r="L197"/>
    </row>
    <row r="198" spans="1:12" s="401" customFormat="1" outlineLevel="1" x14ac:dyDescent="0.25">
      <c r="A198"/>
      <c r="B198" s="412" t="s">
        <v>684</v>
      </c>
      <c r="C198" s="413"/>
      <c r="D198" s="414"/>
      <c r="E198" s="414"/>
      <c r="F198" s="414"/>
      <c r="G198" s="414"/>
      <c r="H198" s="414"/>
      <c r="I198" s="414"/>
      <c r="J198" s="414"/>
      <c r="K198" s="415"/>
      <c r="L198"/>
    </row>
    <row r="199" spans="1:12" s="401" customFormat="1" outlineLevel="1" x14ac:dyDescent="0.25">
      <c r="A199"/>
      <c r="B199" s="412" t="s">
        <v>685</v>
      </c>
      <c r="C199" s="416"/>
      <c r="D199" s="417"/>
      <c r="E199" s="417"/>
      <c r="F199" s="417"/>
      <c r="G199" s="417"/>
      <c r="H199" s="417"/>
      <c r="I199" s="417"/>
      <c r="J199" s="417"/>
      <c r="K199" s="418"/>
      <c r="L199"/>
    </row>
    <row r="200" spans="1:12" s="401" customFormat="1" outlineLevel="1" x14ac:dyDescent="0.25">
      <c r="A200"/>
      <c r="B200" s="412" t="s">
        <v>686</v>
      </c>
      <c r="C200" s="419"/>
      <c r="D200" s="420"/>
      <c r="E200" s="420"/>
      <c r="F200" s="420"/>
      <c r="G200" s="420"/>
      <c r="H200" s="420"/>
      <c r="I200" s="420"/>
      <c r="J200" s="420"/>
      <c r="K200" s="421"/>
      <c r="L200"/>
    </row>
    <row r="201" spans="1:12" s="401" customFormat="1" outlineLevel="1" x14ac:dyDescent="0.25">
      <c r="A201"/>
      <c r="B201" s="410" t="s">
        <v>688</v>
      </c>
      <c r="C201" s="411"/>
      <c r="D201" s="411"/>
      <c r="E201" s="411"/>
      <c r="F201" s="411"/>
      <c r="G201" s="411"/>
      <c r="H201" s="411"/>
      <c r="I201" s="411"/>
      <c r="J201" s="411"/>
      <c r="K201" s="411"/>
      <c r="L201"/>
    </row>
    <row r="202" spans="1:12" s="401" customFormat="1" outlineLevel="1" x14ac:dyDescent="0.25">
      <c r="A202"/>
      <c r="B202" s="412" t="s">
        <v>684</v>
      </c>
      <c r="C202" s="413"/>
      <c r="D202" s="414"/>
      <c r="E202" s="414"/>
      <c r="F202" s="414"/>
      <c r="G202" s="414"/>
      <c r="H202" s="414"/>
      <c r="I202" s="414"/>
      <c r="J202" s="414"/>
      <c r="K202" s="415"/>
      <c r="L202"/>
    </row>
    <row r="203" spans="1:12" s="401" customFormat="1" outlineLevel="1" x14ac:dyDescent="0.25">
      <c r="A203"/>
      <c r="B203" s="412" t="s">
        <v>685</v>
      </c>
      <c r="C203" s="416"/>
      <c r="D203" s="417"/>
      <c r="E203" s="417"/>
      <c r="F203" s="417"/>
      <c r="G203" s="417"/>
      <c r="H203" s="417"/>
      <c r="I203" s="417"/>
      <c r="J203" s="417"/>
      <c r="K203" s="418"/>
      <c r="L203"/>
    </row>
    <row r="204" spans="1:12" s="401" customFormat="1" outlineLevel="1" x14ac:dyDescent="0.25">
      <c r="A204"/>
      <c r="B204" s="412" t="s">
        <v>686</v>
      </c>
      <c r="C204" s="419"/>
      <c r="D204" s="420"/>
      <c r="E204" s="420"/>
      <c r="F204" s="420"/>
      <c r="G204" s="420"/>
      <c r="H204" s="420"/>
      <c r="I204" s="420"/>
      <c r="J204" s="420"/>
      <c r="K204" s="421"/>
      <c r="L204"/>
    </row>
    <row r="205" spans="1:12" s="401" customFormat="1" outlineLevel="1" x14ac:dyDescent="0.25">
      <c r="A205"/>
      <c r="B205" s="410" t="s">
        <v>689</v>
      </c>
      <c r="C205" s="411"/>
      <c r="D205" s="411"/>
      <c r="E205" s="411"/>
      <c r="F205" s="411"/>
      <c r="G205" s="411"/>
      <c r="H205" s="411"/>
      <c r="I205" s="411"/>
      <c r="J205" s="411"/>
      <c r="K205" s="411"/>
      <c r="L205"/>
    </row>
    <row r="206" spans="1:12" s="401" customFormat="1" outlineLevel="1" x14ac:dyDescent="0.25">
      <c r="A206"/>
      <c r="B206" s="412" t="s">
        <v>684</v>
      </c>
      <c r="C206" s="413"/>
      <c r="D206" s="414"/>
      <c r="E206" s="414"/>
      <c r="F206" s="414"/>
      <c r="G206" s="414"/>
      <c r="H206" s="414"/>
      <c r="I206" s="414"/>
      <c r="J206" s="414"/>
      <c r="K206" s="415"/>
      <c r="L206"/>
    </row>
    <row r="207" spans="1:12" s="401" customFormat="1" outlineLevel="1" x14ac:dyDescent="0.25">
      <c r="A207"/>
      <c r="B207" s="412" t="s">
        <v>685</v>
      </c>
      <c r="C207" s="416"/>
      <c r="D207" s="417"/>
      <c r="E207" s="417"/>
      <c r="F207" s="417"/>
      <c r="G207" s="417"/>
      <c r="H207" s="417"/>
      <c r="I207" s="417"/>
      <c r="J207" s="417"/>
      <c r="K207" s="418"/>
      <c r="L207"/>
    </row>
    <row r="208" spans="1:12" s="401" customFormat="1" outlineLevel="1" x14ac:dyDescent="0.25">
      <c r="A208"/>
      <c r="B208" s="412" t="s">
        <v>686</v>
      </c>
      <c r="C208" s="416"/>
      <c r="D208" s="417"/>
      <c r="E208" s="417"/>
      <c r="F208" s="417"/>
      <c r="G208" s="417"/>
      <c r="H208" s="417"/>
      <c r="I208" s="417"/>
      <c r="J208" s="417"/>
      <c r="K208" s="418"/>
      <c r="L208"/>
    </row>
    <row r="209" spans="1:12" s="401" customFormat="1" ht="22.5" customHeight="1" outlineLevel="1" thickBot="1" x14ac:dyDescent="0.3">
      <c r="A209"/>
      <c r="B209" s="422" t="s">
        <v>690</v>
      </c>
      <c r="C209" s="419"/>
      <c r="D209" s="420"/>
      <c r="E209" s="420"/>
      <c r="F209" s="420"/>
      <c r="G209" s="420"/>
      <c r="H209" s="420"/>
      <c r="I209" s="420"/>
      <c r="J209" s="420"/>
      <c r="K209" s="421"/>
      <c r="L209"/>
    </row>
    <row r="210" spans="1:12" s="521" customFormat="1" ht="20.100000000000001" customHeight="1" x14ac:dyDescent="0.25">
      <c r="A210"/>
      <c r="B210" s="649" t="s">
        <v>680</v>
      </c>
      <c r="C210" s="403"/>
      <c r="D210" s="403"/>
      <c r="E210" s="403"/>
      <c r="F210" s="403"/>
      <c r="G210" s="403"/>
      <c r="H210" s="403"/>
      <c r="I210" s="403"/>
      <c r="J210" s="403"/>
      <c r="K210" s="403"/>
      <c r="L210"/>
    </row>
    <row r="211" spans="1:12" s="401" customFormat="1" outlineLevel="1" x14ac:dyDescent="0.25">
      <c r="A211"/>
      <c r="B211" s="404" t="s">
        <v>681</v>
      </c>
      <c r="C211" s="405"/>
      <c r="D211" s="405"/>
      <c r="E211" s="405"/>
      <c r="F211" s="405"/>
      <c r="G211" s="405"/>
      <c r="H211" s="405"/>
      <c r="I211" s="405"/>
      <c r="J211" s="405"/>
      <c r="K211" s="405"/>
      <c r="L211"/>
    </row>
    <row r="212" spans="1:12" s="401" customFormat="1" outlineLevel="1" x14ac:dyDescent="0.25">
      <c r="A212"/>
      <c r="B212" s="406" t="s">
        <v>682</v>
      </c>
      <c r="C212" s="407"/>
      <c r="D212" s="408"/>
      <c r="E212" s="408"/>
      <c r="F212" s="408"/>
      <c r="G212" s="408"/>
      <c r="H212" s="408"/>
      <c r="I212" s="408"/>
      <c r="J212" s="408"/>
      <c r="K212" s="409"/>
      <c r="L212"/>
    </row>
    <row r="213" spans="1:12" s="401" customFormat="1" outlineLevel="1" x14ac:dyDescent="0.25">
      <c r="A213"/>
      <c r="B213" s="410" t="s">
        <v>683</v>
      </c>
      <c r="C213" s="411"/>
      <c r="D213" s="411"/>
      <c r="E213" s="411"/>
      <c r="F213" s="411"/>
      <c r="G213" s="411"/>
      <c r="H213" s="411"/>
      <c r="I213" s="411"/>
      <c r="J213" s="411"/>
      <c r="K213" s="411"/>
      <c r="L213"/>
    </row>
    <row r="214" spans="1:12" s="401" customFormat="1" outlineLevel="1" x14ac:dyDescent="0.25">
      <c r="A214"/>
      <c r="B214" s="412" t="s">
        <v>684</v>
      </c>
      <c r="C214" s="413"/>
      <c r="D214" s="414"/>
      <c r="E214" s="414"/>
      <c r="F214" s="414"/>
      <c r="G214" s="414"/>
      <c r="H214" s="414"/>
      <c r="I214" s="414"/>
      <c r="J214" s="414"/>
      <c r="K214" s="415"/>
      <c r="L214"/>
    </row>
    <row r="215" spans="1:12" s="401" customFormat="1" outlineLevel="1" x14ac:dyDescent="0.25">
      <c r="A215"/>
      <c r="B215" s="412" t="s">
        <v>685</v>
      </c>
      <c r="C215" s="416"/>
      <c r="D215" s="417"/>
      <c r="E215" s="417"/>
      <c r="F215" s="417"/>
      <c r="G215" s="417"/>
      <c r="H215" s="417"/>
      <c r="I215" s="417"/>
      <c r="J215" s="417"/>
      <c r="K215" s="418"/>
      <c r="L215"/>
    </row>
    <row r="216" spans="1:12" s="401" customFormat="1" outlineLevel="1" x14ac:dyDescent="0.25">
      <c r="A216"/>
      <c r="B216" s="412" t="s">
        <v>686</v>
      </c>
      <c r="C216" s="419"/>
      <c r="D216" s="420"/>
      <c r="E216" s="420"/>
      <c r="F216" s="420"/>
      <c r="G216" s="420"/>
      <c r="H216" s="420"/>
      <c r="I216" s="420"/>
      <c r="J216" s="420"/>
      <c r="K216" s="421"/>
      <c r="L216"/>
    </row>
    <row r="217" spans="1:12" s="401" customFormat="1" outlineLevel="1" x14ac:dyDescent="0.25">
      <c r="A217"/>
      <c r="B217" s="410" t="s">
        <v>687</v>
      </c>
      <c r="C217" s="411"/>
      <c r="D217" s="411"/>
      <c r="E217" s="411"/>
      <c r="F217" s="411"/>
      <c r="G217" s="411"/>
      <c r="H217" s="411"/>
      <c r="I217" s="411"/>
      <c r="J217" s="411"/>
      <c r="K217" s="411"/>
      <c r="L217"/>
    </row>
    <row r="218" spans="1:12" s="401" customFormat="1" outlineLevel="1" x14ac:dyDescent="0.25">
      <c r="A218"/>
      <c r="B218" s="412" t="s">
        <v>684</v>
      </c>
      <c r="C218" s="413"/>
      <c r="D218" s="414"/>
      <c r="E218" s="414"/>
      <c r="F218" s="414"/>
      <c r="G218" s="414"/>
      <c r="H218" s="414"/>
      <c r="I218" s="414"/>
      <c r="J218" s="414"/>
      <c r="K218" s="415"/>
      <c r="L218"/>
    </row>
    <row r="219" spans="1:12" s="401" customFormat="1" outlineLevel="1" x14ac:dyDescent="0.25">
      <c r="A219"/>
      <c r="B219" s="412" t="s">
        <v>685</v>
      </c>
      <c r="C219" s="416"/>
      <c r="D219" s="417"/>
      <c r="E219" s="417"/>
      <c r="F219" s="417"/>
      <c r="G219" s="417"/>
      <c r="H219" s="417"/>
      <c r="I219" s="417"/>
      <c r="J219" s="417"/>
      <c r="K219" s="418"/>
      <c r="L219"/>
    </row>
    <row r="220" spans="1:12" s="401" customFormat="1" outlineLevel="1" x14ac:dyDescent="0.25">
      <c r="A220"/>
      <c r="B220" s="412" t="s">
        <v>686</v>
      </c>
      <c r="C220" s="419"/>
      <c r="D220" s="420"/>
      <c r="E220" s="420"/>
      <c r="F220" s="420"/>
      <c r="G220" s="420"/>
      <c r="H220" s="420"/>
      <c r="I220" s="420"/>
      <c r="J220" s="420"/>
      <c r="K220" s="421"/>
      <c r="L220"/>
    </row>
    <row r="221" spans="1:12" s="401" customFormat="1" outlineLevel="1" x14ac:dyDescent="0.25">
      <c r="A221"/>
      <c r="B221" s="410" t="s">
        <v>688</v>
      </c>
      <c r="C221" s="411"/>
      <c r="D221" s="411"/>
      <c r="E221" s="411"/>
      <c r="F221" s="411"/>
      <c r="G221" s="411"/>
      <c r="H221" s="411"/>
      <c r="I221" s="411"/>
      <c r="J221" s="411"/>
      <c r="K221" s="411"/>
      <c r="L221"/>
    </row>
    <row r="222" spans="1:12" s="401" customFormat="1" outlineLevel="1" x14ac:dyDescent="0.25">
      <c r="A222"/>
      <c r="B222" s="412" t="s">
        <v>684</v>
      </c>
      <c r="C222" s="413"/>
      <c r="D222" s="414"/>
      <c r="E222" s="414"/>
      <c r="F222" s="414"/>
      <c r="G222" s="414"/>
      <c r="H222" s="414"/>
      <c r="I222" s="414"/>
      <c r="J222" s="414"/>
      <c r="K222" s="415"/>
      <c r="L222"/>
    </row>
    <row r="223" spans="1:12" s="401" customFormat="1" outlineLevel="1" x14ac:dyDescent="0.25">
      <c r="A223"/>
      <c r="B223" s="412" t="s">
        <v>685</v>
      </c>
      <c r="C223" s="416"/>
      <c r="D223" s="417"/>
      <c r="E223" s="417"/>
      <c r="F223" s="417"/>
      <c r="G223" s="417"/>
      <c r="H223" s="417"/>
      <c r="I223" s="417"/>
      <c r="J223" s="417"/>
      <c r="K223" s="418"/>
      <c r="L223"/>
    </row>
    <row r="224" spans="1:12" s="401" customFormat="1" outlineLevel="1" x14ac:dyDescent="0.25">
      <c r="A224"/>
      <c r="B224" s="412" t="s">
        <v>686</v>
      </c>
      <c r="C224" s="419"/>
      <c r="D224" s="420"/>
      <c r="E224" s="420"/>
      <c r="F224" s="420"/>
      <c r="G224" s="420"/>
      <c r="H224" s="420"/>
      <c r="I224" s="420"/>
      <c r="J224" s="420"/>
      <c r="K224" s="421"/>
      <c r="L224"/>
    </row>
    <row r="225" spans="1:12" s="401" customFormat="1" outlineLevel="1" x14ac:dyDescent="0.25">
      <c r="A225"/>
      <c r="B225" s="410" t="s">
        <v>689</v>
      </c>
      <c r="C225" s="411"/>
      <c r="D225" s="411"/>
      <c r="E225" s="411"/>
      <c r="F225" s="411"/>
      <c r="G225" s="411"/>
      <c r="H225" s="411"/>
      <c r="I225" s="411"/>
      <c r="J225" s="411"/>
      <c r="K225" s="411"/>
      <c r="L225"/>
    </row>
    <row r="226" spans="1:12" s="401" customFormat="1" outlineLevel="1" x14ac:dyDescent="0.25">
      <c r="A226"/>
      <c r="B226" s="412" t="s">
        <v>684</v>
      </c>
      <c r="C226" s="413"/>
      <c r="D226" s="414"/>
      <c r="E226" s="414"/>
      <c r="F226" s="414"/>
      <c r="G226" s="414"/>
      <c r="H226" s="414"/>
      <c r="I226" s="414"/>
      <c r="J226" s="414"/>
      <c r="K226" s="415"/>
      <c r="L226"/>
    </row>
    <row r="227" spans="1:12" s="401" customFormat="1" outlineLevel="1" x14ac:dyDescent="0.25">
      <c r="A227"/>
      <c r="B227" s="412" t="s">
        <v>685</v>
      </c>
      <c r="C227" s="416"/>
      <c r="D227" s="417"/>
      <c r="E227" s="417"/>
      <c r="F227" s="417"/>
      <c r="G227" s="417"/>
      <c r="H227" s="417"/>
      <c r="I227" s="417"/>
      <c r="J227" s="417"/>
      <c r="K227" s="418"/>
      <c r="L227"/>
    </row>
    <row r="228" spans="1:12" s="401" customFormat="1" outlineLevel="1" x14ac:dyDescent="0.25">
      <c r="A228"/>
      <c r="B228" s="412" t="s">
        <v>686</v>
      </c>
      <c r="C228" s="416"/>
      <c r="D228" s="417"/>
      <c r="E228" s="417"/>
      <c r="F228" s="417"/>
      <c r="G228" s="417"/>
      <c r="H228" s="417"/>
      <c r="I228" s="417"/>
      <c r="J228" s="417"/>
      <c r="K228" s="418"/>
      <c r="L228"/>
    </row>
    <row r="229" spans="1:12" s="401" customFormat="1" ht="22.5" customHeight="1" outlineLevel="1" thickBot="1" x14ac:dyDescent="0.3">
      <c r="A229"/>
      <c r="B229" s="422" t="s">
        <v>690</v>
      </c>
      <c r="C229" s="419"/>
      <c r="D229" s="420"/>
      <c r="E229" s="420"/>
      <c r="F229" s="420"/>
      <c r="G229" s="420"/>
      <c r="H229" s="420"/>
      <c r="I229" s="420"/>
      <c r="J229" s="420"/>
      <c r="K229" s="421"/>
      <c r="L229"/>
    </row>
    <row r="230" spans="1:12" s="521" customFormat="1" ht="20.100000000000001" customHeight="1" x14ac:dyDescent="0.25">
      <c r="A230"/>
      <c r="B230" s="649" t="s">
        <v>680</v>
      </c>
      <c r="C230" s="403"/>
      <c r="D230" s="403"/>
      <c r="E230" s="403"/>
      <c r="F230" s="403"/>
      <c r="G230" s="403"/>
      <c r="H230" s="403"/>
      <c r="I230" s="403"/>
      <c r="J230" s="403"/>
      <c r="K230" s="403"/>
      <c r="L230"/>
    </row>
    <row r="231" spans="1:12" s="401" customFormat="1" outlineLevel="1" x14ac:dyDescent="0.25">
      <c r="A231"/>
      <c r="B231" s="431" t="s">
        <v>681</v>
      </c>
      <c r="C231" s="405"/>
      <c r="D231" s="405"/>
      <c r="E231" s="405"/>
      <c r="F231" s="405"/>
      <c r="G231" s="405"/>
      <c r="H231" s="405"/>
      <c r="I231" s="405"/>
      <c r="J231" s="405"/>
      <c r="K231" s="405"/>
      <c r="L231"/>
    </row>
    <row r="232" spans="1:12" s="401" customFormat="1" outlineLevel="1" x14ac:dyDescent="0.25">
      <c r="A232"/>
      <c r="B232" s="406" t="s">
        <v>682</v>
      </c>
      <c r="C232" s="407"/>
      <c r="D232" s="408"/>
      <c r="E232" s="408"/>
      <c r="F232" s="408"/>
      <c r="G232" s="408"/>
      <c r="H232" s="408"/>
      <c r="I232" s="408"/>
      <c r="J232" s="408"/>
      <c r="K232" s="409"/>
      <c r="L232"/>
    </row>
    <row r="233" spans="1:12" s="401" customFormat="1" outlineLevel="1" x14ac:dyDescent="0.25">
      <c r="A233"/>
      <c r="B233" s="410" t="s">
        <v>683</v>
      </c>
      <c r="C233" s="411"/>
      <c r="D233" s="411"/>
      <c r="E233" s="411"/>
      <c r="F233" s="411"/>
      <c r="G233" s="411"/>
      <c r="H233" s="411"/>
      <c r="I233" s="411"/>
      <c r="J233" s="411"/>
      <c r="K233" s="411"/>
      <c r="L233"/>
    </row>
    <row r="234" spans="1:12" s="401" customFormat="1" outlineLevel="1" x14ac:dyDescent="0.25">
      <c r="A234"/>
      <c r="B234" s="412" t="s">
        <v>684</v>
      </c>
      <c r="C234" s="413"/>
      <c r="D234" s="414"/>
      <c r="E234" s="414"/>
      <c r="F234" s="414"/>
      <c r="G234" s="414"/>
      <c r="H234" s="414"/>
      <c r="I234" s="414"/>
      <c r="J234" s="414"/>
      <c r="K234" s="415"/>
      <c r="L234"/>
    </row>
    <row r="235" spans="1:12" s="401" customFormat="1" outlineLevel="1" x14ac:dyDescent="0.25">
      <c r="A235"/>
      <c r="B235" s="412" t="s">
        <v>685</v>
      </c>
      <c r="C235" s="416"/>
      <c r="D235" s="417"/>
      <c r="E235" s="417"/>
      <c r="F235" s="417"/>
      <c r="G235" s="417"/>
      <c r="H235" s="417"/>
      <c r="I235" s="417"/>
      <c r="J235" s="417"/>
      <c r="K235" s="418"/>
      <c r="L235"/>
    </row>
    <row r="236" spans="1:12" s="401" customFormat="1" outlineLevel="1" x14ac:dyDescent="0.25">
      <c r="A236"/>
      <c r="B236" s="412" t="s">
        <v>686</v>
      </c>
      <c r="C236" s="419"/>
      <c r="D236" s="420"/>
      <c r="E236" s="420"/>
      <c r="F236" s="420"/>
      <c r="G236" s="420"/>
      <c r="H236" s="420"/>
      <c r="I236" s="420"/>
      <c r="J236" s="420"/>
      <c r="K236" s="421"/>
      <c r="L236"/>
    </row>
    <row r="237" spans="1:12" s="401" customFormat="1" outlineLevel="1" x14ac:dyDescent="0.25">
      <c r="A237"/>
      <c r="B237" s="410" t="s">
        <v>687</v>
      </c>
      <c r="C237" s="411"/>
      <c r="D237" s="411"/>
      <c r="E237" s="411"/>
      <c r="F237" s="411"/>
      <c r="G237" s="411"/>
      <c r="H237" s="411"/>
      <c r="I237" s="411"/>
      <c r="J237" s="411"/>
      <c r="K237" s="411"/>
      <c r="L237"/>
    </row>
    <row r="238" spans="1:12" s="401" customFormat="1" outlineLevel="1" x14ac:dyDescent="0.25">
      <c r="A238"/>
      <c r="B238" s="412" t="s">
        <v>684</v>
      </c>
      <c r="C238" s="413"/>
      <c r="D238" s="414"/>
      <c r="E238" s="414"/>
      <c r="F238" s="414"/>
      <c r="G238" s="414"/>
      <c r="H238" s="414"/>
      <c r="I238" s="414"/>
      <c r="J238" s="414"/>
      <c r="K238" s="415"/>
      <c r="L238"/>
    </row>
    <row r="239" spans="1:12" s="401" customFormat="1" outlineLevel="1" x14ac:dyDescent="0.25">
      <c r="A239"/>
      <c r="B239" s="412" t="s">
        <v>685</v>
      </c>
      <c r="C239" s="416"/>
      <c r="D239" s="417"/>
      <c r="E239" s="417"/>
      <c r="F239" s="417"/>
      <c r="G239" s="417"/>
      <c r="H239" s="417"/>
      <c r="I239" s="417"/>
      <c r="J239" s="417"/>
      <c r="K239" s="418"/>
      <c r="L239"/>
    </row>
    <row r="240" spans="1:12" s="401" customFormat="1" outlineLevel="1" x14ac:dyDescent="0.25">
      <c r="A240"/>
      <c r="B240" s="412" t="s">
        <v>686</v>
      </c>
      <c r="C240" s="419"/>
      <c r="D240" s="420"/>
      <c r="E240" s="420"/>
      <c r="F240" s="420"/>
      <c r="G240" s="420"/>
      <c r="H240" s="420"/>
      <c r="I240" s="420"/>
      <c r="J240" s="420"/>
      <c r="K240" s="421"/>
      <c r="L240"/>
    </row>
    <row r="241" spans="1:12" s="401" customFormat="1" outlineLevel="1" x14ac:dyDescent="0.25">
      <c r="A241"/>
      <c r="B241" s="410" t="s">
        <v>688</v>
      </c>
      <c r="C241" s="411"/>
      <c r="D241" s="411"/>
      <c r="E241" s="411"/>
      <c r="F241" s="411"/>
      <c r="G241" s="411"/>
      <c r="H241" s="411"/>
      <c r="I241" s="411"/>
      <c r="J241" s="411"/>
      <c r="K241" s="411"/>
      <c r="L241"/>
    </row>
    <row r="242" spans="1:12" s="401" customFormat="1" outlineLevel="1" x14ac:dyDescent="0.25">
      <c r="A242"/>
      <c r="B242" s="412" t="s">
        <v>684</v>
      </c>
      <c r="C242" s="413"/>
      <c r="D242" s="414"/>
      <c r="E242" s="414"/>
      <c r="F242" s="414"/>
      <c r="G242" s="414"/>
      <c r="H242" s="414"/>
      <c r="I242" s="414"/>
      <c r="J242" s="414"/>
      <c r="K242" s="415"/>
      <c r="L242"/>
    </row>
    <row r="243" spans="1:12" s="401" customFormat="1" outlineLevel="1" x14ac:dyDescent="0.25">
      <c r="A243"/>
      <c r="B243" s="412" t="s">
        <v>685</v>
      </c>
      <c r="C243" s="416"/>
      <c r="D243" s="417"/>
      <c r="E243" s="417"/>
      <c r="F243" s="417"/>
      <c r="G243" s="417"/>
      <c r="H243" s="417"/>
      <c r="I243" s="417"/>
      <c r="J243" s="417"/>
      <c r="K243" s="418"/>
      <c r="L243"/>
    </row>
    <row r="244" spans="1:12" s="401" customFormat="1" outlineLevel="1" x14ac:dyDescent="0.25">
      <c r="A244"/>
      <c r="B244" s="412" t="s">
        <v>686</v>
      </c>
      <c r="C244" s="419"/>
      <c r="D244" s="420"/>
      <c r="E244" s="420"/>
      <c r="F244" s="420"/>
      <c r="G244" s="420"/>
      <c r="H244" s="420"/>
      <c r="I244" s="420"/>
      <c r="J244" s="420"/>
      <c r="K244" s="421"/>
      <c r="L244"/>
    </row>
    <row r="245" spans="1:12" s="401" customFormat="1" outlineLevel="1" x14ac:dyDescent="0.25">
      <c r="A245"/>
      <c r="B245" s="410" t="s">
        <v>689</v>
      </c>
      <c r="C245" s="411"/>
      <c r="D245" s="411"/>
      <c r="E245" s="411"/>
      <c r="F245" s="411"/>
      <c r="G245" s="411"/>
      <c r="H245" s="411"/>
      <c r="I245" s="411"/>
      <c r="J245" s="411"/>
      <c r="K245" s="411"/>
      <c r="L245"/>
    </row>
    <row r="246" spans="1:12" s="401" customFormat="1" outlineLevel="1" x14ac:dyDescent="0.25">
      <c r="A246"/>
      <c r="B246" s="412" t="s">
        <v>684</v>
      </c>
      <c r="C246" s="413"/>
      <c r="D246" s="414"/>
      <c r="E246" s="414"/>
      <c r="F246" s="414"/>
      <c r="G246" s="414"/>
      <c r="H246" s="414"/>
      <c r="I246" s="414"/>
      <c r="J246" s="414"/>
      <c r="K246" s="415"/>
      <c r="L246"/>
    </row>
    <row r="247" spans="1:12" s="401" customFormat="1" outlineLevel="1" x14ac:dyDescent="0.25">
      <c r="A247"/>
      <c r="B247" s="412" t="s">
        <v>685</v>
      </c>
      <c r="C247" s="416"/>
      <c r="D247" s="417"/>
      <c r="E247" s="417"/>
      <c r="F247" s="417"/>
      <c r="G247" s="417"/>
      <c r="H247" s="417"/>
      <c r="I247" s="417"/>
      <c r="J247" s="417"/>
      <c r="K247" s="418"/>
      <c r="L247"/>
    </row>
    <row r="248" spans="1:12" s="401" customFormat="1" outlineLevel="1" x14ac:dyDescent="0.25">
      <c r="A248"/>
      <c r="B248" s="412" t="s">
        <v>686</v>
      </c>
      <c r="C248" s="416"/>
      <c r="D248" s="417"/>
      <c r="E248" s="417"/>
      <c r="F248" s="417"/>
      <c r="G248" s="417"/>
      <c r="H248" s="417"/>
      <c r="I248" s="417"/>
      <c r="J248" s="417"/>
      <c r="K248" s="418"/>
      <c r="L248"/>
    </row>
    <row r="249" spans="1:12" s="401" customFormat="1" ht="22.5" customHeight="1" outlineLevel="1" thickBot="1" x14ac:dyDescent="0.3">
      <c r="A249"/>
      <c r="B249" s="422" t="s">
        <v>690</v>
      </c>
      <c r="C249" s="419"/>
      <c r="D249" s="420"/>
      <c r="E249" s="420"/>
      <c r="F249" s="420"/>
      <c r="G249" s="420"/>
      <c r="H249" s="420"/>
      <c r="I249" s="420"/>
      <c r="J249" s="420"/>
      <c r="K249" s="421"/>
      <c r="L249"/>
    </row>
    <row r="250" spans="1:12" s="521" customFormat="1" ht="20.100000000000001" customHeight="1" x14ac:dyDescent="0.25">
      <c r="A250"/>
      <c r="B250" s="649" t="s">
        <v>680</v>
      </c>
      <c r="C250" s="403"/>
      <c r="D250" s="403"/>
      <c r="E250" s="403"/>
      <c r="F250" s="403"/>
      <c r="G250" s="403"/>
      <c r="H250" s="403"/>
      <c r="I250" s="403"/>
      <c r="J250" s="403"/>
      <c r="K250" s="403"/>
      <c r="L250"/>
    </row>
    <row r="251" spans="1:12" s="401" customFormat="1" outlineLevel="1" x14ac:dyDescent="0.25">
      <c r="A251"/>
      <c r="B251" s="431" t="s">
        <v>681</v>
      </c>
      <c r="C251" s="405"/>
      <c r="D251" s="405"/>
      <c r="E251" s="405"/>
      <c r="F251" s="405"/>
      <c r="G251" s="405"/>
      <c r="H251" s="405"/>
      <c r="I251" s="405"/>
      <c r="J251" s="405"/>
      <c r="K251" s="405"/>
      <c r="L251"/>
    </row>
    <row r="252" spans="1:12" s="401" customFormat="1" outlineLevel="1" x14ac:dyDescent="0.25">
      <c r="A252"/>
      <c r="B252" s="406" t="s">
        <v>682</v>
      </c>
      <c r="C252" s="407"/>
      <c r="D252" s="408"/>
      <c r="E252" s="408"/>
      <c r="F252" s="408"/>
      <c r="G252" s="408"/>
      <c r="H252" s="408"/>
      <c r="I252" s="408"/>
      <c r="J252" s="408"/>
      <c r="K252" s="409"/>
      <c r="L252"/>
    </row>
    <row r="253" spans="1:12" s="401" customFormat="1" outlineLevel="1" x14ac:dyDescent="0.25">
      <c r="A253"/>
      <c r="B253" s="410" t="s">
        <v>683</v>
      </c>
      <c r="C253" s="411"/>
      <c r="D253" s="411"/>
      <c r="E253" s="411"/>
      <c r="F253" s="411"/>
      <c r="G253" s="411"/>
      <c r="H253" s="411"/>
      <c r="I253" s="411"/>
      <c r="J253" s="411"/>
      <c r="K253" s="411"/>
      <c r="L253"/>
    </row>
    <row r="254" spans="1:12" s="401" customFormat="1" outlineLevel="1" x14ac:dyDescent="0.25">
      <c r="A254"/>
      <c r="B254" s="412" t="s">
        <v>684</v>
      </c>
      <c r="C254" s="413"/>
      <c r="D254" s="414"/>
      <c r="E254" s="414"/>
      <c r="F254" s="414"/>
      <c r="G254" s="414"/>
      <c r="H254" s="414"/>
      <c r="I254" s="414"/>
      <c r="J254" s="414"/>
      <c r="K254" s="415"/>
      <c r="L254"/>
    </row>
    <row r="255" spans="1:12" s="401" customFormat="1" outlineLevel="1" x14ac:dyDescent="0.25">
      <c r="A255"/>
      <c r="B255" s="412" t="s">
        <v>685</v>
      </c>
      <c r="C255" s="416"/>
      <c r="D255" s="417"/>
      <c r="E255" s="417"/>
      <c r="F255" s="417"/>
      <c r="G255" s="417"/>
      <c r="H255" s="417"/>
      <c r="I255" s="417"/>
      <c r="J255" s="417"/>
      <c r="K255" s="418"/>
      <c r="L255"/>
    </row>
    <row r="256" spans="1:12" s="401" customFormat="1" outlineLevel="1" x14ac:dyDescent="0.25">
      <c r="A256"/>
      <c r="B256" s="412" t="s">
        <v>686</v>
      </c>
      <c r="C256" s="419"/>
      <c r="D256" s="420"/>
      <c r="E256" s="420"/>
      <c r="F256" s="420"/>
      <c r="G256" s="420"/>
      <c r="H256" s="420"/>
      <c r="I256" s="420"/>
      <c r="J256" s="420"/>
      <c r="K256" s="421"/>
      <c r="L256"/>
    </row>
    <row r="257" spans="1:12" s="401" customFormat="1" outlineLevel="1" x14ac:dyDescent="0.25">
      <c r="A257"/>
      <c r="B257" s="410" t="s">
        <v>687</v>
      </c>
      <c r="C257" s="411"/>
      <c r="D257" s="411"/>
      <c r="E257" s="411"/>
      <c r="F257" s="411"/>
      <c r="G257" s="411"/>
      <c r="H257" s="411"/>
      <c r="I257" s="411"/>
      <c r="J257" s="411"/>
      <c r="K257" s="411"/>
      <c r="L257"/>
    </row>
    <row r="258" spans="1:12" s="401" customFormat="1" outlineLevel="1" x14ac:dyDescent="0.25">
      <c r="A258"/>
      <c r="B258" s="412" t="s">
        <v>684</v>
      </c>
      <c r="C258" s="413"/>
      <c r="D258" s="414"/>
      <c r="E258" s="414"/>
      <c r="F258" s="414"/>
      <c r="G258" s="414"/>
      <c r="H258" s="414"/>
      <c r="I258" s="414"/>
      <c r="J258" s="414"/>
      <c r="K258" s="415"/>
      <c r="L258"/>
    </row>
    <row r="259" spans="1:12" s="401" customFormat="1" outlineLevel="1" x14ac:dyDescent="0.25">
      <c r="A259"/>
      <c r="B259" s="412" t="s">
        <v>685</v>
      </c>
      <c r="C259" s="416"/>
      <c r="D259" s="417"/>
      <c r="E259" s="417"/>
      <c r="F259" s="417"/>
      <c r="G259" s="417"/>
      <c r="H259" s="417"/>
      <c r="I259" s="417"/>
      <c r="J259" s="417"/>
      <c r="K259" s="418"/>
      <c r="L259"/>
    </row>
    <row r="260" spans="1:12" s="401" customFormat="1" outlineLevel="1" x14ac:dyDescent="0.25">
      <c r="A260"/>
      <c r="B260" s="412" t="s">
        <v>686</v>
      </c>
      <c r="C260" s="419"/>
      <c r="D260" s="420"/>
      <c r="E260" s="420"/>
      <c r="F260" s="420"/>
      <c r="G260" s="420"/>
      <c r="H260" s="420"/>
      <c r="I260" s="420"/>
      <c r="J260" s="420"/>
      <c r="K260" s="421"/>
      <c r="L260"/>
    </row>
    <row r="261" spans="1:12" s="401" customFormat="1" outlineLevel="1" x14ac:dyDescent="0.25">
      <c r="A261"/>
      <c r="B261" s="410" t="s">
        <v>688</v>
      </c>
      <c r="C261" s="411"/>
      <c r="D261" s="411"/>
      <c r="E261" s="411"/>
      <c r="F261" s="411"/>
      <c r="G261" s="411"/>
      <c r="H261" s="411"/>
      <c r="I261" s="411"/>
      <c r="J261" s="411"/>
      <c r="K261" s="411"/>
      <c r="L261"/>
    </row>
    <row r="262" spans="1:12" s="401" customFormat="1" outlineLevel="1" x14ac:dyDescent="0.25">
      <c r="A262"/>
      <c r="B262" s="412" t="s">
        <v>684</v>
      </c>
      <c r="C262" s="413"/>
      <c r="D262" s="414"/>
      <c r="E262" s="414"/>
      <c r="F262" s="414"/>
      <c r="G262" s="414"/>
      <c r="H262" s="414"/>
      <c r="I262" s="414"/>
      <c r="J262" s="414"/>
      <c r="K262" s="415"/>
      <c r="L262"/>
    </row>
    <row r="263" spans="1:12" s="401" customFormat="1" outlineLevel="1" x14ac:dyDescent="0.25">
      <c r="A263"/>
      <c r="B263" s="412" t="s">
        <v>685</v>
      </c>
      <c r="C263" s="416"/>
      <c r="D263" s="417"/>
      <c r="E263" s="417"/>
      <c r="F263" s="417"/>
      <c r="G263" s="417"/>
      <c r="H263" s="417"/>
      <c r="I263" s="417"/>
      <c r="J263" s="417"/>
      <c r="K263" s="418"/>
      <c r="L263"/>
    </row>
    <row r="264" spans="1:12" s="401" customFormat="1" outlineLevel="1" x14ac:dyDescent="0.25">
      <c r="A264"/>
      <c r="B264" s="412" t="s">
        <v>686</v>
      </c>
      <c r="C264" s="419"/>
      <c r="D264" s="420"/>
      <c r="E264" s="420"/>
      <c r="F264" s="420"/>
      <c r="G264" s="420"/>
      <c r="H264" s="420"/>
      <c r="I264" s="420"/>
      <c r="J264" s="420"/>
      <c r="K264" s="421"/>
      <c r="L264"/>
    </row>
    <row r="265" spans="1:12" s="401" customFormat="1" outlineLevel="1" x14ac:dyDescent="0.25">
      <c r="A265"/>
      <c r="B265" s="410" t="s">
        <v>689</v>
      </c>
      <c r="C265" s="411"/>
      <c r="D265" s="411"/>
      <c r="E265" s="411"/>
      <c r="F265" s="411"/>
      <c r="G265" s="411"/>
      <c r="H265" s="411"/>
      <c r="I265" s="411"/>
      <c r="J265" s="411"/>
      <c r="K265" s="411"/>
      <c r="L265"/>
    </row>
    <row r="266" spans="1:12" s="401" customFormat="1" outlineLevel="1" x14ac:dyDescent="0.25">
      <c r="A266"/>
      <c r="B266" s="412" t="s">
        <v>684</v>
      </c>
      <c r="C266" s="413"/>
      <c r="D266" s="414"/>
      <c r="E266" s="414"/>
      <c r="F266" s="414"/>
      <c r="G266" s="414"/>
      <c r="H266" s="414"/>
      <c r="I266" s="414"/>
      <c r="J266" s="414"/>
      <c r="K266" s="415"/>
      <c r="L266"/>
    </row>
    <row r="267" spans="1:12" s="401" customFormat="1" outlineLevel="1" x14ac:dyDescent="0.25">
      <c r="A267"/>
      <c r="B267" s="412" t="s">
        <v>685</v>
      </c>
      <c r="C267" s="416"/>
      <c r="D267" s="417"/>
      <c r="E267" s="417"/>
      <c r="F267" s="417"/>
      <c r="G267" s="417"/>
      <c r="H267" s="417"/>
      <c r="I267" s="417"/>
      <c r="J267" s="417"/>
      <c r="K267" s="418"/>
      <c r="L267"/>
    </row>
    <row r="268" spans="1:12" s="401" customFormat="1" outlineLevel="1" x14ac:dyDescent="0.25">
      <c r="A268"/>
      <c r="B268" s="412" t="s">
        <v>686</v>
      </c>
      <c r="C268" s="416"/>
      <c r="D268" s="417"/>
      <c r="E268" s="417"/>
      <c r="F268" s="417"/>
      <c r="G268" s="417"/>
      <c r="H268" s="417"/>
      <c r="I268" s="417"/>
      <c r="J268" s="417"/>
      <c r="K268" s="418"/>
      <c r="L268"/>
    </row>
    <row r="269" spans="1:12" s="401" customFormat="1" ht="22.5" customHeight="1" outlineLevel="1" thickBot="1" x14ac:dyDescent="0.3">
      <c r="A269"/>
      <c r="B269" s="422" t="s">
        <v>690</v>
      </c>
      <c r="C269" s="419"/>
      <c r="D269" s="420"/>
      <c r="E269" s="420"/>
      <c r="F269" s="420"/>
      <c r="G269" s="420"/>
      <c r="H269" s="420"/>
      <c r="I269" s="420"/>
      <c r="J269" s="420"/>
      <c r="K269" s="421"/>
      <c r="L269"/>
    </row>
    <row r="270" spans="1:12" s="521" customFormat="1" ht="20.100000000000001" customHeight="1" x14ac:dyDescent="0.25">
      <c r="A270"/>
      <c r="B270" s="649" t="s">
        <v>680</v>
      </c>
      <c r="C270" s="403"/>
      <c r="D270" s="403"/>
      <c r="E270" s="403"/>
      <c r="F270" s="403"/>
      <c r="G270" s="403"/>
      <c r="H270" s="403"/>
      <c r="I270" s="403"/>
      <c r="J270" s="403"/>
      <c r="K270" s="403"/>
      <c r="L270"/>
    </row>
    <row r="271" spans="1:12" s="401" customFormat="1" outlineLevel="1" x14ac:dyDescent="0.25">
      <c r="A271"/>
      <c r="B271" s="404" t="s">
        <v>681</v>
      </c>
      <c r="C271" s="405"/>
      <c r="D271" s="405"/>
      <c r="E271" s="405"/>
      <c r="F271" s="405"/>
      <c r="G271" s="405"/>
      <c r="H271" s="405"/>
      <c r="I271" s="405"/>
      <c r="J271" s="405"/>
      <c r="K271" s="405"/>
      <c r="L271"/>
    </row>
    <row r="272" spans="1:12" s="401" customFormat="1" outlineLevel="1" x14ac:dyDescent="0.25">
      <c r="A272"/>
      <c r="B272" s="406" t="s">
        <v>682</v>
      </c>
      <c r="C272" s="407"/>
      <c r="D272" s="408"/>
      <c r="E272" s="408"/>
      <c r="F272" s="408"/>
      <c r="G272" s="408"/>
      <c r="H272" s="408"/>
      <c r="I272" s="408"/>
      <c r="J272" s="408"/>
      <c r="K272" s="409"/>
      <c r="L272"/>
    </row>
    <row r="273" spans="1:12" s="401" customFormat="1" outlineLevel="1" x14ac:dyDescent="0.25">
      <c r="A273"/>
      <c r="B273" s="410" t="s">
        <v>683</v>
      </c>
      <c r="C273" s="411"/>
      <c r="D273" s="411"/>
      <c r="E273" s="411"/>
      <c r="F273" s="411"/>
      <c r="G273" s="411"/>
      <c r="H273" s="411"/>
      <c r="I273" s="411"/>
      <c r="J273" s="411"/>
      <c r="K273" s="411"/>
      <c r="L273"/>
    </row>
    <row r="274" spans="1:12" s="401" customFormat="1" outlineLevel="1" x14ac:dyDescent="0.25">
      <c r="A274"/>
      <c r="B274" s="412" t="s">
        <v>684</v>
      </c>
      <c r="C274" s="413"/>
      <c r="D274" s="414"/>
      <c r="E274" s="414"/>
      <c r="F274" s="414"/>
      <c r="G274" s="414"/>
      <c r="H274" s="414"/>
      <c r="I274" s="414"/>
      <c r="J274" s="414"/>
      <c r="K274" s="415"/>
      <c r="L274"/>
    </row>
    <row r="275" spans="1:12" s="401" customFormat="1" outlineLevel="1" x14ac:dyDescent="0.25">
      <c r="A275"/>
      <c r="B275" s="412" t="s">
        <v>685</v>
      </c>
      <c r="C275" s="416"/>
      <c r="D275" s="417"/>
      <c r="E275" s="417"/>
      <c r="F275" s="417"/>
      <c r="G275" s="417"/>
      <c r="H275" s="417"/>
      <c r="I275" s="417"/>
      <c r="J275" s="417"/>
      <c r="K275" s="418"/>
      <c r="L275"/>
    </row>
    <row r="276" spans="1:12" s="401" customFormat="1" outlineLevel="1" x14ac:dyDescent="0.25">
      <c r="A276"/>
      <c r="B276" s="412" t="s">
        <v>686</v>
      </c>
      <c r="C276" s="419"/>
      <c r="D276" s="420"/>
      <c r="E276" s="420"/>
      <c r="F276" s="420"/>
      <c r="G276" s="420"/>
      <c r="H276" s="420"/>
      <c r="I276" s="420"/>
      <c r="J276" s="420"/>
      <c r="K276" s="421"/>
      <c r="L276"/>
    </row>
    <row r="277" spans="1:12" s="401" customFormat="1" outlineLevel="1" x14ac:dyDescent="0.25">
      <c r="A277"/>
      <c r="B277" s="410" t="s">
        <v>687</v>
      </c>
      <c r="C277" s="411"/>
      <c r="D277" s="411"/>
      <c r="E277" s="411"/>
      <c r="F277" s="411"/>
      <c r="G277" s="411"/>
      <c r="H277" s="411"/>
      <c r="I277" s="411"/>
      <c r="J277" s="411"/>
      <c r="K277" s="411"/>
      <c r="L277"/>
    </row>
    <row r="278" spans="1:12" s="401" customFormat="1" outlineLevel="1" x14ac:dyDescent="0.25">
      <c r="A278"/>
      <c r="B278" s="412" t="s">
        <v>684</v>
      </c>
      <c r="C278" s="413"/>
      <c r="D278" s="414"/>
      <c r="E278" s="414"/>
      <c r="F278" s="414"/>
      <c r="G278" s="414"/>
      <c r="H278" s="414"/>
      <c r="I278" s="414"/>
      <c r="J278" s="414"/>
      <c r="K278" s="415"/>
      <c r="L278"/>
    </row>
    <row r="279" spans="1:12" s="401" customFormat="1" outlineLevel="1" x14ac:dyDescent="0.25">
      <c r="A279"/>
      <c r="B279" s="412" t="s">
        <v>685</v>
      </c>
      <c r="C279" s="416"/>
      <c r="D279" s="417"/>
      <c r="E279" s="417"/>
      <c r="F279" s="417"/>
      <c r="G279" s="417"/>
      <c r="H279" s="417"/>
      <c r="I279" s="417"/>
      <c r="J279" s="417"/>
      <c r="K279" s="418"/>
      <c r="L279"/>
    </row>
    <row r="280" spans="1:12" s="401" customFormat="1" outlineLevel="1" x14ac:dyDescent="0.25">
      <c r="A280"/>
      <c r="B280" s="412" t="s">
        <v>686</v>
      </c>
      <c r="C280" s="419"/>
      <c r="D280" s="420"/>
      <c r="E280" s="420"/>
      <c r="F280" s="420"/>
      <c r="G280" s="420"/>
      <c r="H280" s="420"/>
      <c r="I280" s="420"/>
      <c r="J280" s="420"/>
      <c r="K280" s="421"/>
      <c r="L280"/>
    </row>
    <row r="281" spans="1:12" s="401" customFormat="1" outlineLevel="1" x14ac:dyDescent="0.25">
      <c r="A281"/>
      <c r="B281" s="410" t="s">
        <v>688</v>
      </c>
      <c r="C281" s="411"/>
      <c r="D281" s="411"/>
      <c r="E281" s="411"/>
      <c r="F281" s="411"/>
      <c r="G281" s="411"/>
      <c r="H281" s="411"/>
      <c r="I281" s="411"/>
      <c r="J281" s="411"/>
      <c r="K281" s="411"/>
      <c r="L281"/>
    </row>
    <row r="282" spans="1:12" s="401" customFormat="1" outlineLevel="1" x14ac:dyDescent="0.25">
      <c r="A282"/>
      <c r="B282" s="412" t="s">
        <v>684</v>
      </c>
      <c r="C282" s="413"/>
      <c r="D282" s="414"/>
      <c r="E282" s="414"/>
      <c r="F282" s="414"/>
      <c r="G282" s="414"/>
      <c r="H282" s="414"/>
      <c r="I282" s="414"/>
      <c r="J282" s="414"/>
      <c r="K282" s="415"/>
      <c r="L282"/>
    </row>
    <row r="283" spans="1:12" s="401" customFormat="1" outlineLevel="1" x14ac:dyDescent="0.25">
      <c r="A283"/>
      <c r="B283" s="412" t="s">
        <v>685</v>
      </c>
      <c r="C283" s="416"/>
      <c r="D283" s="417"/>
      <c r="E283" s="417"/>
      <c r="F283" s="417"/>
      <c r="G283" s="417"/>
      <c r="H283" s="417"/>
      <c r="I283" s="417"/>
      <c r="J283" s="417"/>
      <c r="K283" s="418"/>
      <c r="L283"/>
    </row>
    <row r="284" spans="1:12" s="401" customFormat="1" outlineLevel="1" x14ac:dyDescent="0.25">
      <c r="A284"/>
      <c r="B284" s="412" t="s">
        <v>686</v>
      </c>
      <c r="C284" s="419"/>
      <c r="D284" s="420"/>
      <c r="E284" s="420"/>
      <c r="F284" s="420"/>
      <c r="G284" s="420"/>
      <c r="H284" s="420"/>
      <c r="I284" s="420"/>
      <c r="J284" s="420"/>
      <c r="K284" s="421"/>
      <c r="L284"/>
    </row>
    <row r="285" spans="1:12" s="401" customFormat="1" outlineLevel="1" x14ac:dyDescent="0.25">
      <c r="A285"/>
      <c r="B285" s="410" t="s">
        <v>689</v>
      </c>
      <c r="C285" s="411"/>
      <c r="D285" s="411"/>
      <c r="E285" s="411"/>
      <c r="F285" s="411"/>
      <c r="G285" s="411"/>
      <c r="H285" s="411"/>
      <c r="I285" s="411"/>
      <c r="J285" s="411"/>
      <c r="K285" s="411"/>
      <c r="L285"/>
    </row>
    <row r="286" spans="1:12" s="401" customFormat="1" outlineLevel="1" x14ac:dyDescent="0.25">
      <c r="A286"/>
      <c r="B286" s="412" t="s">
        <v>684</v>
      </c>
      <c r="C286" s="413"/>
      <c r="D286" s="414"/>
      <c r="E286" s="414"/>
      <c r="F286" s="414"/>
      <c r="G286" s="414"/>
      <c r="H286" s="414"/>
      <c r="I286" s="414"/>
      <c r="J286" s="414"/>
      <c r="K286" s="415"/>
      <c r="L286"/>
    </row>
    <row r="287" spans="1:12" s="401" customFormat="1" outlineLevel="1" x14ac:dyDescent="0.25">
      <c r="A287"/>
      <c r="B287" s="412" t="s">
        <v>685</v>
      </c>
      <c r="C287" s="416"/>
      <c r="D287" s="417"/>
      <c r="E287" s="417"/>
      <c r="F287" s="417"/>
      <c r="G287" s="417"/>
      <c r="H287" s="417"/>
      <c r="I287" s="417"/>
      <c r="J287" s="417"/>
      <c r="K287" s="418"/>
      <c r="L287"/>
    </row>
    <row r="288" spans="1:12" s="401" customFormat="1" outlineLevel="1" x14ac:dyDescent="0.25">
      <c r="A288"/>
      <c r="B288" s="412" t="s">
        <v>686</v>
      </c>
      <c r="C288" s="416"/>
      <c r="D288" s="417"/>
      <c r="E288" s="417"/>
      <c r="F288" s="417"/>
      <c r="G288" s="417"/>
      <c r="H288" s="417"/>
      <c r="I288" s="417"/>
      <c r="J288" s="417"/>
      <c r="K288" s="418"/>
      <c r="L288"/>
    </row>
    <row r="289" spans="1:12" s="401" customFormat="1" ht="22.5" customHeight="1" outlineLevel="1" thickBot="1" x14ac:dyDescent="0.3">
      <c r="A289"/>
      <c r="B289" s="422" t="s">
        <v>690</v>
      </c>
      <c r="C289" s="419"/>
      <c r="D289" s="420"/>
      <c r="E289" s="420"/>
      <c r="F289" s="420"/>
      <c r="G289" s="420"/>
      <c r="H289" s="420"/>
      <c r="I289" s="420"/>
      <c r="J289" s="420"/>
      <c r="K289" s="421"/>
      <c r="L289"/>
    </row>
    <row r="290" spans="1:12" s="521" customFormat="1" ht="20.100000000000001" customHeight="1" x14ac:dyDescent="0.25">
      <c r="A290"/>
      <c r="B290" s="649" t="s">
        <v>680</v>
      </c>
      <c r="C290" s="403"/>
      <c r="D290" s="403"/>
      <c r="E290" s="403"/>
      <c r="F290" s="403"/>
      <c r="G290" s="403"/>
      <c r="H290" s="403"/>
      <c r="I290" s="403"/>
      <c r="J290" s="403"/>
      <c r="K290" s="403"/>
      <c r="L290"/>
    </row>
    <row r="291" spans="1:12" s="401" customFormat="1" outlineLevel="1" x14ac:dyDescent="0.25">
      <c r="A291"/>
      <c r="B291" s="404" t="s">
        <v>681</v>
      </c>
      <c r="C291" s="405"/>
      <c r="D291" s="405"/>
      <c r="E291" s="405"/>
      <c r="F291" s="405"/>
      <c r="G291" s="405"/>
      <c r="H291" s="405"/>
      <c r="I291" s="405"/>
      <c r="J291" s="405"/>
      <c r="K291" s="405"/>
      <c r="L291"/>
    </row>
    <row r="292" spans="1:12" s="401" customFormat="1" outlineLevel="1" x14ac:dyDescent="0.25">
      <c r="A292"/>
      <c r="B292" s="406" t="s">
        <v>682</v>
      </c>
      <c r="C292" s="407"/>
      <c r="D292" s="408"/>
      <c r="E292" s="408"/>
      <c r="F292" s="408"/>
      <c r="G292" s="408"/>
      <c r="H292" s="408"/>
      <c r="I292" s="408"/>
      <c r="J292" s="408"/>
      <c r="K292" s="409"/>
      <c r="L292"/>
    </row>
    <row r="293" spans="1:12" s="401" customFormat="1" outlineLevel="1" x14ac:dyDescent="0.25">
      <c r="A293"/>
      <c r="B293" s="410" t="s">
        <v>683</v>
      </c>
      <c r="C293" s="411"/>
      <c r="D293" s="411"/>
      <c r="E293" s="411"/>
      <c r="F293" s="411"/>
      <c r="G293" s="411"/>
      <c r="H293" s="411"/>
      <c r="I293" s="411"/>
      <c r="J293" s="411"/>
      <c r="K293" s="411"/>
      <c r="L293"/>
    </row>
    <row r="294" spans="1:12" s="401" customFormat="1" outlineLevel="1" x14ac:dyDescent="0.25">
      <c r="A294"/>
      <c r="B294" s="412" t="s">
        <v>684</v>
      </c>
      <c r="C294" s="413"/>
      <c r="D294" s="414"/>
      <c r="E294" s="414"/>
      <c r="F294" s="414"/>
      <c r="G294" s="414"/>
      <c r="H294" s="414"/>
      <c r="I294" s="414"/>
      <c r="J294" s="414"/>
      <c r="K294" s="415"/>
      <c r="L294"/>
    </row>
    <row r="295" spans="1:12" s="401" customFormat="1" outlineLevel="1" x14ac:dyDescent="0.25">
      <c r="A295"/>
      <c r="B295" s="412" t="s">
        <v>685</v>
      </c>
      <c r="C295" s="416"/>
      <c r="D295" s="417"/>
      <c r="E295" s="417"/>
      <c r="F295" s="417"/>
      <c r="G295" s="417"/>
      <c r="H295" s="417"/>
      <c r="I295" s="417"/>
      <c r="J295" s="417"/>
      <c r="K295" s="418"/>
      <c r="L295"/>
    </row>
    <row r="296" spans="1:12" s="401" customFormat="1" outlineLevel="1" x14ac:dyDescent="0.25">
      <c r="A296"/>
      <c r="B296" s="412" t="s">
        <v>686</v>
      </c>
      <c r="C296" s="419"/>
      <c r="D296" s="420"/>
      <c r="E296" s="420"/>
      <c r="F296" s="420"/>
      <c r="G296" s="420"/>
      <c r="H296" s="420"/>
      <c r="I296" s="420"/>
      <c r="J296" s="420"/>
      <c r="K296" s="421"/>
      <c r="L296"/>
    </row>
    <row r="297" spans="1:12" s="401" customFormat="1" outlineLevel="1" x14ac:dyDescent="0.25">
      <c r="A297"/>
      <c r="B297" s="410" t="s">
        <v>687</v>
      </c>
      <c r="C297" s="411"/>
      <c r="D297" s="411"/>
      <c r="E297" s="411"/>
      <c r="F297" s="411"/>
      <c r="G297" s="411"/>
      <c r="H297" s="411"/>
      <c r="I297" s="411"/>
      <c r="J297" s="411"/>
      <c r="K297" s="411"/>
      <c r="L297"/>
    </row>
    <row r="298" spans="1:12" s="401" customFormat="1" outlineLevel="1" x14ac:dyDescent="0.25">
      <c r="A298"/>
      <c r="B298" s="412" t="s">
        <v>684</v>
      </c>
      <c r="C298" s="413"/>
      <c r="D298" s="414"/>
      <c r="E298" s="414"/>
      <c r="F298" s="414"/>
      <c r="G298" s="414"/>
      <c r="H298" s="414"/>
      <c r="I298" s="414"/>
      <c r="J298" s="414"/>
      <c r="K298" s="415"/>
      <c r="L298"/>
    </row>
    <row r="299" spans="1:12" s="401" customFormat="1" outlineLevel="1" x14ac:dyDescent="0.25">
      <c r="A299"/>
      <c r="B299" s="412" t="s">
        <v>685</v>
      </c>
      <c r="C299" s="416"/>
      <c r="D299" s="417"/>
      <c r="E299" s="417"/>
      <c r="F299" s="417"/>
      <c r="G299" s="417"/>
      <c r="H299" s="417"/>
      <c r="I299" s="417"/>
      <c r="J299" s="417"/>
      <c r="K299" s="418"/>
      <c r="L299"/>
    </row>
    <row r="300" spans="1:12" s="401" customFormat="1" outlineLevel="1" x14ac:dyDescent="0.25">
      <c r="A300"/>
      <c r="B300" s="412" t="s">
        <v>686</v>
      </c>
      <c r="C300" s="419"/>
      <c r="D300" s="420"/>
      <c r="E300" s="420"/>
      <c r="F300" s="420"/>
      <c r="G300" s="420"/>
      <c r="H300" s="420"/>
      <c r="I300" s="420"/>
      <c r="J300" s="420"/>
      <c r="K300" s="421"/>
      <c r="L300"/>
    </row>
    <row r="301" spans="1:12" s="401" customFormat="1" outlineLevel="1" x14ac:dyDescent="0.25">
      <c r="A301"/>
      <c r="B301" s="410" t="s">
        <v>688</v>
      </c>
      <c r="C301" s="411"/>
      <c r="D301" s="411"/>
      <c r="E301" s="411"/>
      <c r="F301" s="411"/>
      <c r="G301" s="411"/>
      <c r="H301" s="411"/>
      <c r="I301" s="411"/>
      <c r="J301" s="411"/>
      <c r="K301" s="411"/>
      <c r="L301"/>
    </row>
    <row r="302" spans="1:12" s="401" customFormat="1" outlineLevel="1" x14ac:dyDescent="0.25">
      <c r="A302"/>
      <c r="B302" s="412" t="s">
        <v>684</v>
      </c>
      <c r="C302" s="413"/>
      <c r="D302" s="414"/>
      <c r="E302" s="414"/>
      <c r="F302" s="414"/>
      <c r="G302" s="414"/>
      <c r="H302" s="414"/>
      <c r="I302" s="414"/>
      <c r="J302" s="414"/>
      <c r="K302" s="415"/>
      <c r="L302"/>
    </row>
    <row r="303" spans="1:12" s="401" customFormat="1" outlineLevel="1" x14ac:dyDescent="0.25">
      <c r="A303"/>
      <c r="B303" s="412" t="s">
        <v>685</v>
      </c>
      <c r="C303" s="416"/>
      <c r="D303" s="417"/>
      <c r="E303" s="417"/>
      <c r="F303" s="417"/>
      <c r="G303" s="417"/>
      <c r="H303" s="417"/>
      <c r="I303" s="417"/>
      <c r="J303" s="417"/>
      <c r="K303" s="418"/>
      <c r="L303"/>
    </row>
    <row r="304" spans="1:12" s="401" customFormat="1" outlineLevel="1" x14ac:dyDescent="0.25">
      <c r="A304"/>
      <c r="B304" s="412" t="s">
        <v>686</v>
      </c>
      <c r="C304" s="419"/>
      <c r="D304" s="420"/>
      <c r="E304" s="420"/>
      <c r="F304" s="420"/>
      <c r="G304" s="420"/>
      <c r="H304" s="420"/>
      <c r="I304" s="420"/>
      <c r="J304" s="420"/>
      <c r="K304" s="421"/>
      <c r="L304"/>
    </row>
    <row r="305" spans="1:12" s="401" customFormat="1" outlineLevel="1" x14ac:dyDescent="0.25">
      <c r="A305"/>
      <c r="B305" s="410" t="s">
        <v>689</v>
      </c>
      <c r="C305" s="411"/>
      <c r="D305" s="411"/>
      <c r="E305" s="411"/>
      <c r="F305" s="411"/>
      <c r="G305" s="411"/>
      <c r="H305" s="411"/>
      <c r="I305" s="411"/>
      <c r="J305" s="411"/>
      <c r="K305" s="411"/>
      <c r="L305"/>
    </row>
    <row r="306" spans="1:12" s="401" customFormat="1" outlineLevel="1" x14ac:dyDescent="0.25">
      <c r="A306"/>
      <c r="B306" s="412" t="s">
        <v>684</v>
      </c>
      <c r="C306" s="413"/>
      <c r="D306" s="414"/>
      <c r="E306" s="414"/>
      <c r="F306" s="414"/>
      <c r="G306" s="414"/>
      <c r="H306" s="414"/>
      <c r="I306" s="414"/>
      <c r="J306" s="414"/>
      <c r="K306" s="415"/>
      <c r="L306"/>
    </row>
    <row r="307" spans="1:12" s="401" customFormat="1" outlineLevel="1" x14ac:dyDescent="0.25">
      <c r="A307"/>
      <c r="B307" s="412" t="s">
        <v>685</v>
      </c>
      <c r="C307" s="416"/>
      <c r="D307" s="417"/>
      <c r="E307" s="417"/>
      <c r="F307" s="417"/>
      <c r="G307" s="417"/>
      <c r="H307" s="417"/>
      <c r="I307" s="417"/>
      <c r="J307" s="417"/>
      <c r="K307" s="418"/>
      <c r="L307"/>
    </row>
    <row r="308" spans="1:12" s="401" customFormat="1" outlineLevel="1" x14ac:dyDescent="0.25">
      <c r="A308"/>
      <c r="B308" s="412" t="s">
        <v>686</v>
      </c>
      <c r="C308" s="416"/>
      <c r="D308" s="417"/>
      <c r="E308" s="417"/>
      <c r="F308" s="417"/>
      <c r="G308" s="417"/>
      <c r="H308" s="417"/>
      <c r="I308" s="417"/>
      <c r="J308" s="417"/>
      <c r="K308" s="418"/>
      <c r="L308"/>
    </row>
    <row r="309" spans="1:12" s="401" customFormat="1" ht="22.5" customHeight="1" outlineLevel="1" thickBot="1" x14ac:dyDescent="0.3">
      <c r="A309"/>
      <c r="B309" s="422" t="s">
        <v>690</v>
      </c>
      <c r="C309" s="419"/>
      <c r="D309" s="420"/>
      <c r="E309" s="420"/>
      <c r="F309" s="420"/>
      <c r="G309" s="420"/>
      <c r="H309" s="420"/>
      <c r="I309" s="420"/>
      <c r="J309" s="420"/>
      <c r="K309" s="421"/>
      <c r="L309"/>
    </row>
    <row r="310" spans="1:12" s="521" customFormat="1" ht="20.100000000000001" customHeight="1" x14ac:dyDescent="0.25">
      <c r="A310"/>
      <c r="B310" s="649" t="s">
        <v>680</v>
      </c>
      <c r="C310" s="403"/>
      <c r="D310" s="403"/>
      <c r="E310" s="403"/>
      <c r="F310" s="403"/>
      <c r="G310" s="403"/>
      <c r="H310" s="403"/>
      <c r="I310" s="403"/>
      <c r="J310" s="403"/>
      <c r="K310" s="403"/>
      <c r="L310"/>
    </row>
    <row r="311" spans="1:12" s="401" customFormat="1" outlineLevel="1" x14ac:dyDescent="0.25">
      <c r="A311"/>
      <c r="B311" s="404" t="s">
        <v>681</v>
      </c>
      <c r="C311" s="405"/>
      <c r="D311" s="405"/>
      <c r="E311" s="405"/>
      <c r="F311" s="405"/>
      <c r="G311" s="405"/>
      <c r="H311" s="405"/>
      <c r="I311" s="405"/>
      <c r="J311" s="405"/>
      <c r="K311" s="405"/>
      <c r="L311"/>
    </row>
    <row r="312" spans="1:12" s="401" customFormat="1" outlineLevel="1" x14ac:dyDescent="0.25">
      <c r="A312"/>
      <c r="B312" s="406" t="s">
        <v>682</v>
      </c>
      <c r="C312" s="407"/>
      <c r="D312" s="408"/>
      <c r="E312" s="408"/>
      <c r="F312" s="408"/>
      <c r="G312" s="408"/>
      <c r="H312" s="408"/>
      <c r="I312" s="408"/>
      <c r="J312" s="408"/>
      <c r="K312" s="409"/>
      <c r="L312"/>
    </row>
    <row r="313" spans="1:12" s="401" customFormat="1" outlineLevel="1" x14ac:dyDescent="0.25">
      <c r="A313"/>
      <c r="B313" s="410" t="s">
        <v>683</v>
      </c>
      <c r="C313" s="411"/>
      <c r="D313" s="411"/>
      <c r="E313" s="411"/>
      <c r="F313" s="411"/>
      <c r="G313" s="411"/>
      <c r="H313" s="411"/>
      <c r="I313" s="411"/>
      <c r="J313" s="411"/>
      <c r="K313" s="411"/>
      <c r="L313"/>
    </row>
    <row r="314" spans="1:12" s="401" customFormat="1" outlineLevel="1" x14ac:dyDescent="0.25">
      <c r="A314"/>
      <c r="B314" s="412" t="s">
        <v>684</v>
      </c>
      <c r="C314" s="413"/>
      <c r="D314" s="414"/>
      <c r="E314" s="414"/>
      <c r="F314" s="414"/>
      <c r="G314" s="414"/>
      <c r="H314" s="414"/>
      <c r="I314" s="414"/>
      <c r="J314" s="414"/>
      <c r="K314" s="415"/>
      <c r="L314"/>
    </row>
    <row r="315" spans="1:12" s="401" customFormat="1" outlineLevel="1" x14ac:dyDescent="0.25">
      <c r="A315"/>
      <c r="B315" s="412" t="s">
        <v>685</v>
      </c>
      <c r="C315" s="416"/>
      <c r="D315" s="417"/>
      <c r="E315" s="417"/>
      <c r="F315" s="417"/>
      <c r="G315" s="417"/>
      <c r="H315" s="417"/>
      <c r="I315" s="417"/>
      <c r="J315" s="417"/>
      <c r="K315" s="418"/>
      <c r="L315"/>
    </row>
    <row r="316" spans="1:12" s="401" customFormat="1" outlineLevel="1" x14ac:dyDescent="0.25">
      <c r="A316"/>
      <c r="B316" s="412" t="s">
        <v>686</v>
      </c>
      <c r="C316" s="419"/>
      <c r="D316" s="420"/>
      <c r="E316" s="420"/>
      <c r="F316" s="420"/>
      <c r="G316" s="420"/>
      <c r="H316" s="420"/>
      <c r="I316" s="420"/>
      <c r="J316" s="420"/>
      <c r="K316" s="421"/>
      <c r="L316"/>
    </row>
    <row r="317" spans="1:12" s="401" customFormat="1" outlineLevel="1" x14ac:dyDescent="0.25">
      <c r="A317"/>
      <c r="B317" s="410" t="s">
        <v>687</v>
      </c>
      <c r="C317" s="411"/>
      <c r="D317" s="411"/>
      <c r="E317" s="411"/>
      <c r="F317" s="411"/>
      <c r="G317" s="411"/>
      <c r="H317" s="411"/>
      <c r="I317" s="411"/>
      <c r="J317" s="411"/>
      <c r="K317" s="411"/>
      <c r="L317"/>
    </row>
    <row r="318" spans="1:12" s="401" customFormat="1" outlineLevel="1" x14ac:dyDescent="0.25">
      <c r="A318"/>
      <c r="B318" s="412" t="s">
        <v>684</v>
      </c>
      <c r="C318" s="413"/>
      <c r="D318" s="414"/>
      <c r="E318" s="414"/>
      <c r="F318" s="414"/>
      <c r="G318" s="414"/>
      <c r="H318" s="414"/>
      <c r="I318" s="414"/>
      <c r="J318" s="414"/>
      <c r="K318" s="415"/>
      <c r="L318"/>
    </row>
    <row r="319" spans="1:12" s="401" customFormat="1" outlineLevel="1" x14ac:dyDescent="0.25">
      <c r="A319"/>
      <c r="B319" s="412" t="s">
        <v>685</v>
      </c>
      <c r="C319" s="416"/>
      <c r="D319" s="417"/>
      <c r="E319" s="417"/>
      <c r="F319" s="417"/>
      <c r="G319" s="417"/>
      <c r="H319" s="417"/>
      <c r="I319" s="417"/>
      <c r="J319" s="417"/>
      <c r="K319" s="418"/>
      <c r="L319"/>
    </row>
    <row r="320" spans="1:12" s="401" customFormat="1" outlineLevel="1" x14ac:dyDescent="0.25">
      <c r="A320"/>
      <c r="B320" s="412" t="s">
        <v>686</v>
      </c>
      <c r="C320" s="419"/>
      <c r="D320" s="420"/>
      <c r="E320" s="420"/>
      <c r="F320" s="420"/>
      <c r="G320" s="420"/>
      <c r="H320" s="420"/>
      <c r="I320" s="420"/>
      <c r="J320" s="420"/>
      <c r="K320" s="421"/>
      <c r="L320"/>
    </row>
    <row r="321" spans="1:12" s="401" customFormat="1" outlineLevel="1" x14ac:dyDescent="0.25">
      <c r="A321"/>
      <c r="B321" s="410" t="s">
        <v>688</v>
      </c>
      <c r="C321" s="411"/>
      <c r="D321" s="411"/>
      <c r="E321" s="411"/>
      <c r="F321" s="411"/>
      <c r="G321" s="411"/>
      <c r="H321" s="411"/>
      <c r="I321" s="411"/>
      <c r="J321" s="411"/>
      <c r="K321" s="411"/>
      <c r="L321"/>
    </row>
    <row r="322" spans="1:12" s="401" customFormat="1" outlineLevel="1" x14ac:dyDescent="0.25">
      <c r="A322"/>
      <c r="B322" s="412" t="s">
        <v>684</v>
      </c>
      <c r="C322" s="413"/>
      <c r="D322" s="414"/>
      <c r="E322" s="414"/>
      <c r="F322" s="414"/>
      <c r="G322" s="414"/>
      <c r="H322" s="414"/>
      <c r="I322" s="414"/>
      <c r="J322" s="414"/>
      <c r="K322" s="415"/>
      <c r="L322"/>
    </row>
    <row r="323" spans="1:12" s="401" customFormat="1" outlineLevel="1" x14ac:dyDescent="0.25">
      <c r="A323"/>
      <c r="B323" s="412" t="s">
        <v>685</v>
      </c>
      <c r="C323" s="416"/>
      <c r="D323" s="417"/>
      <c r="E323" s="417"/>
      <c r="F323" s="417"/>
      <c r="G323" s="417"/>
      <c r="H323" s="417"/>
      <c r="I323" s="417"/>
      <c r="J323" s="417"/>
      <c r="K323" s="418"/>
      <c r="L323"/>
    </row>
    <row r="324" spans="1:12" s="401" customFormat="1" outlineLevel="1" x14ac:dyDescent="0.25">
      <c r="A324"/>
      <c r="B324" s="412" t="s">
        <v>686</v>
      </c>
      <c r="C324" s="419"/>
      <c r="D324" s="420"/>
      <c r="E324" s="420"/>
      <c r="F324" s="420"/>
      <c r="G324" s="420"/>
      <c r="H324" s="420"/>
      <c r="I324" s="420"/>
      <c r="J324" s="420"/>
      <c r="K324" s="421"/>
      <c r="L324"/>
    </row>
    <row r="325" spans="1:12" s="401" customFormat="1" outlineLevel="1" x14ac:dyDescent="0.25">
      <c r="A325"/>
      <c r="B325" s="410" t="s">
        <v>689</v>
      </c>
      <c r="C325" s="411"/>
      <c r="D325" s="411"/>
      <c r="E325" s="411"/>
      <c r="F325" s="411"/>
      <c r="G325" s="411"/>
      <c r="H325" s="411"/>
      <c r="I325" s="411"/>
      <c r="J325" s="411"/>
      <c r="K325" s="411"/>
      <c r="L325"/>
    </row>
    <row r="326" spans="1:12" s="401" customFormat="1" outlineLevel="1" x14ac:dyDescent="0.25">
      <c r="A326"/>
      <c r="B326" s="412" t="s">
        <v>684</v>
      </c>
      <c r="C326" s="413"/>
      <c r="D326" s="414"/>
      <c r="E326" s="414"/>
      <c r="F326" s="414"/>
      <c r="G326" s="414"/>
      <c r="H326" s="414"/>
      <c r="I326" s="414"/>
      <c r="J326" s="414"/>
      <c r="K326" s="415"/>
      <c r="L326"/>
    </row>
    <row r="327" spans="1:12" s="401" customFormat="1" outlineLevel="1" x14ac:dyDescent="0.25">
      <c r="A327"/>
      <c r="B327" s="412" t="s">
        <v>685</v>
      </c>
      <c r="C327" s="416"/>
      <c r="D327" s="417"/>
      <c r="E327" s="417"/>
      <c r="F327" s="417"/>
      <c r="G327" s="417"/>
      <c r="H327" s="417"/>
      <c r="I327" s="417"/>
      <c r="J327" s="417"/>
      <c r="K327" s="418"/>
      <c r="L327"/>
    </row>
    <row r="328" spans="1:12" s="401" customFormat="1" outlineLevel="1" x14ac:dyDescent="0.25">
      <c r="A328"/>
      <c r="B328" s="412" t="s">
        <v>686</v>
      </c>
      <c r="C328" s="416"/>
      <c r="D328" s="417"/>
      <c r="E328" s="417"/>
      <c r="F328" s="417"/>
      <c r="G328" s="417"/>
      <c r="H328" s="417"/>
      <c r="I328" s="417"/>
      <c r="J328" s="417"/>
      <c r="K328" s="418"/>
      <c r="L328"/>
    </row>
    <row r="329" spans="1:12" s="401" customFormat="1" ht="22.5" customHeight="1" outlineLevel="1" thickBot="1" x14ac:dyDescent="0.3">
      <c r="A329"/>
      <c r="B329" s="422" t="s">
        <v>690</v>
      </c>
      <c r="C329" s="419"/>
      <c r="D329" s="420"/>
      <c r="E329" s="420"/>
      <c r="F329" s="420"/>
      <c r="G329" s="420"/>
      <c r="H329" s="420"/>
      <c r="I329" s="420"/>
      <c r="J329" s="420"/>
      <c r="K329" s="421"/>
      <c r="L329"/>
    </row>
    <row r="330" spans="1:12" s="521" customFormat="1" ht="20.100000000000001" customHeight="1" x14ac:dyDescent="0.25">
      <c r="A330"/>
      <c r="B330" s="649" t="s">
        <v>680</v>
      </c>
      <c r="C330" s="403"/>
      <c r="D330" s="403"/>
      <c r="E330" s="403"/>
      <c r="F330" s="403"/>
      <c r="G330" s="403"/>
      <c r="H330" s="403"/>
      <c r="I330" s="403"/>
      <c r="J330" s="403"/>
      <c r="K330" s="403"/>
      <c r="L330"/>
    </row>
    <row r="331" spans="1:12" s="401" customFormat="1" outlineLevel="1" x14ac:dyDescent="0.25">
      <c r="A331"/>
      <c r="B331" s="404" t="s">
        <v>681</v>
      </c>
      <c r="C331" s="405"/>
      <c r="D331" s="405"/>
      <c r="E331" s="405"/>
      <c r="F331" s="405"/>
      <c r="G331" s="405"/>
      <c r="H331" s="405"/>
      <c r="I331" s="405"/>
      <c r="J331" s="405"/>
      <c r="K331" s="405"/>
      <c r="L331"/>
    </row>
    <row r="332" spans="1:12" s="401" customFormat="1" outlineLevel="1" x14ac:dyDescent="0.25">
      <c r="A332"/>
      <c r="B332" s="406" t="s">
        <v>682</v>
      </c>
      <c r="C332" s="407"/>
      <c r="D332" s="408"/>
      <c r="E332" s="408"/>
      <c r="F332" s="408"/>
      <c r="G332" s="408"/>
      <c r="H332" s="408"/>
      <c r="I332" s="408"/>
      <c r="J332" s="408"/>
      <c r="K332" s="409"/>
      <c r="L332"/>
    </row>
    <row r="333" spans="1:12" s="401" customFormat="1" outlineLevel="1" x14ac:dyDescent="0.25">
      <c r="A333"/>
      <c r="B333" s="410" t="s">
        <v>683</v>
      </c>
      <c r="C333" s="411"/>
      <c r="D333" s="411"/>
      <c r="E333" s="411"/>
      <c r="F333" s="411"/>
      <c r="G333" s="411"/>
      <c r="H333" s="411"/>
      <c r="I333" s="411"/>
      <c r="J333" s="411"/>
      <c r="K333" s="411"/>
      <c r="L333"/>
    </row>
    <row r="334" spans="1:12" s="401" customFormat="1" outlineLevel="1" x14ac:dyDescent="0.25">
      <c r="A334"/>
      <c r="B334" s="412" t="s">
        <v>684</v>
      </c>
      <c r="C334" s="413"/>
      <c r="D334" s="414"/>
      <c r="E334" s="414"/>
      <c r="F334" s="414"/>
      <c r="G334" s="414"/>
      <c r="H334" s="414"/>
      <c r="I334" s="414"/>
      <c r="J334" s="414"/>
      <c r="K334" s="415"/>
      <c r="L334"/>
    </row>
    <row r="335" spans="1:12" s="401" customFormat="1" outlineLevel="1" x14ac:dyDescent="0.25">
      <c r="A335"/>
      <c r="B335" s="412" t="s">
        <v>685</v>
      </c>
      <c r="C335" s="416"/>
      <c r="D335" s="417"/>
      <c r="E335" s="417"/>
      <c r="F335" s="417"/>
      <c r="G335" s="417"/>
      <c r="H335" s="417"/>
      <c r="I335" s="417"/>
      <c r="J335" s="417"/>
      <c r="K335" s="418"/>
      <c r="L335"/>
    </row>
    <row r="336" spans="1:12" s="401" customFormat="1" outlineLevel="1" x14ac:dyDescent="0.25">
      <c r="A336"/>
      <c r="B336" s="412" t="s">
        <v>686</v>
      </c>
      <c r="C336" s="419"/>
      <c r="D336" s="420"/>
      <c r="E336" s="420"/>
      <c r="F336" s="420"/>
      <c r="G336" s="420"/>
      <c r="H336" s="420"/>
      <c r="I336" s="420"/>
      <c r="J336" s="420"/>
      <c r="K336" s="421"/>
      <c r="L336"/>
    </row>
    <row r="337" spans="1:12" s="401" customFormat="1" outlineLevel="1" x14ac:dyDescent="0.25">
      <c r="A337"/>
      <c r="B337" s="410" t="s">
        <v>687</v>
      </c>
      <c r="C337" s="411"/>
      <c r="D337" s="411"/>
      <c r="E337" s="411"/>
      <c r="F337" s="411"/>
      <c r="G337" s="411"/>
      <c r="H337" s="411"/>
      <c r="I337" s="411"/>
      <c r="J337" s="411"/>
      <c r="K337" s="411"/>
      <c r="L337"/>
    </row>
    <row r="338" spans="1:12" s="401" customFormat="1" outlineLevel="1" x14ac:dyDescent="0.25">
      <c r="A338"/>
      <c r="B338" s="412" t="s">
        <v>684</v>
      </c>
      <c r="C338" s="413"/>
      <c r="D338" s="414"/>
      <c r="E338" s="414"/>
      <c r="F338" s="414"/>
      <c r="G338" s="414"/>
      <c r="H338" s="414"/>
      <c r="I338" s="414"/>
      <c r="J338" s="414"/>
      <c r="K338" s="415"/>
      <c r="L338"/>
    </row>
    <row r="339" spans="1:12" s="401" customFormat="1" outlineLevel="1" x14ac:dyDescent="0.25">
      <c r="A339"/>
      <c r="B339" s="412" t="s">
        <v>685</v>
      </c>
      <c r="C339" s="416"/>
      <c r="D339" s="417"/>
      <c r="E339" s="417"/>
      <c r="F339" s="417"/>
      <c r="G339" s="417"/>
      <c r="H339" s="417"/>
      <c r="I339" s="417"/>
      <c r="J339" s="417"/>
      <c r="K339" s="418"/>
      <c r="L339"/>
    </row>
    <row r="340" spans="1:12" s="401" customFormat="1" outlineLevel="1" x14ac:dyDescent="0.25">
      <c r="A340"/>
      <c r="B340" s="412" t="s">
        <v>686</v>
      </c>
      <c r="C340" s="419"/>
      <c r="D340" s="420"/>
      <c r="E340" s="420"/>
      <c r="F340" s="420"/>
      <c r="G340" s="420"/>
      <c r="H340" s="420"/>
      <c r="I340" s="420"/>
      <c r="J340" s="420"/>
      <c r="K340" s="421"/>
      <c r="L340"/>
    </row>
    <row r="341" spans="1:12" s="401" customFormat="1" outlineLevel="1" x14ac:dyDescent="0.25">
      <c r="A341"/>
      <c r="B341" s="410" t="s">
        <v>688</v>
      </c>
      <c r="C341" s="411"/>
      <c r="D341" s="411"/>
      <c r="E341" s="411"/>
      <c r="F341" s="411"/>
      <c r="G341" s="411"/>
      <c r="H341" s="411"/>
      <c r="I341" s="411"/>
      <c r="J341" s="411"/>
      <c r="K341" s="411"/>
      <c r="L341"/>
    </row>
    <row r="342" spans="1:12" s="401" customFormat="1" outlineLevel="1" x14ac:dyDescent="0.25">
      <c r="A342"/>
      <c r="B342" s="412" t="s">
        <v>684</v>
      </c>
      <c r="C342" s="413"/>
      <c r="D342" s="414"/>
      <c r="E342" s="414"/>
      <c r="F342" s="414"/>
      <c r="G342" s="414"/>
      <c r="H342" s="414"/>
      <c r="I342" s="414"/>
      <c r="J342" s="414"/>
      <c r="K342" s="415"/>
      <c r="L342"/>
    </row>
    <row r="343" spans="1:12" s="401" customFormat="1" outlineLevel="1" x14ac:dyDescent="0.25">
      <c r="A343"/>
      <c r="B343" s="412" t="s">
        <v>685</v>
      </c>
      <c r="C343" s="416"/>
      <c r="D343" s="417"/>
      <c r="E343" s="417"/>
      <c r="F343" s="417"/>
      <c r="G343" s="417"/>
      <c r="H343" s="417"/>
      <c r="I343" s="417"/>
      <c r="J343" s="417"/>
      <c r="K343" s="418"/>
      <c r="L343"/>
    </row>
    <row r="344" spans="1:12" s="401" customFormat="1" outlineLevel="1" x14ac:dyDescent="0.25">
      <c r="A344"/>
      <c r="B344" s="412" t="s">
        <v>686</v>
      </c>
      <c r="C344" s="419"/>
      <c r="D344" s="420"/>
      <c r="E344" s="420"/>
      <c r="F344" s="420"/>
      <c r="G344" s="420"/>
      <c r="H344" s="420"/>
      <c r="I344" s="420"/>
      <c r="J344" s="420"/>
      <c r="K344" s="421"/>
      <c r="L344"/>
    </row>
    <row r="345" spans="1:12" s="401" customFormat="1" outlineLevel="1" x14ac:dyDescent="0.25">
      <c r="A345"/>
      <c r="B345" s="410" t="s">
        <v>689</v>
      </c>
      <c r="C345" s="411"/>
      <c r="D345" s="411"/>
      <c r="E345" s="411"/>
      <c r="F345" s="411"/>
      <c r="G345" s="411"/>
      <c r="H345" s="411"/>
      <c r="I345" s="411"/>
      <c r="J345" s="411"/>
      <c r="K345" s="411"/>
      <c r="L345"/>
    </row>
    <row r="346" spans="1:12" s="401" customFormat="1" outlineLevel="1" x14ac:dyDescent="0.25">
      <c r="A346"/>
      <c r="B346" s="412" t="s">
        <v>684</v>
      </c>
      <c r="C346" s="413"/>
      <c r="D346" s="414"/>
      <c r="E346" s="414"/>
      <c r="F346" s="414"/>
      <c r="G346" s="414"/>
      <c r="H346" s="414"/>
      <c r="I346" s="414"/>
      <c r="J346" s="414"/>
      <c r="K346" s="415"/>
      <c r="L346"/>
    </row>
    <row r="347" spans="1:12" s="401" customFormat="1" outlineLevel="1" x14ac:dyDescent="0.25">
      <c r="A347"/>
      <c r="B347" s="412" t="s">
        <v>685</v>
      </c>
      <c r="C347" s="416"/>
      <c r="D347" s="417"/>
      <c r="E347" s="417"/>
      <c r="F347" s="417"/>
      <c r="G347" s="417"/>
      <c r="H347" s="417"/>
      <c r="I347" s="417"/>
      <c r="J347" s="417"/>
      <c r="K347" s="418"/>
      <c r="L347"/>
    </row>
    <row r="348" spans="1:12" s="401" customFormat="1" outlineLevel="1" x14ac:dyDescent="0.25">
      <c r="A348"/>
      <c r="B348" s="412" t="s">
        <v>686</v>
      </c>
      <c r="C348" s="416"/>
      <c r="D348" s="417"/>
      <c r="E348" s="417"/>
      <c r="F348" s="417"/>
      <c r="G348" s="417"/>
      <c r="H348" s="417"/>
      <c r="I348" s="417"/>
      <c r="J348" s="417"/>
      <c r="K348" s="418"/>
      <c r="L348"/>
    </row>
    <row r="349" spans="1:12" s="401" customFormat="1" ht="22.5" customHeight="1" outlineLevel="1" thickBot="1" x14ac:dyDescent="0.3">
      <c r="A349"/>
      <c r="B349" s="422" t="s">
        <v>690</v>
      </c>
      <c r="C349" s="419"/>
      <c r="D349" s="420"/>
      <c r="E349" s="420"/>
      <c r="F349" s="420"/>
      <c r="G349" s="420"/>
      <c r="H349" s="420"/>
      <c r="I349" s="420"/>
      <c r="J349" s="420"/>
      <c r="K349" s="421"/>
      <c r="L349"/>
    </row>
    <row r="350" spans="1:12" s="521" customFormat="1" ht="20.100000000000001" customHeight="1" x14ac:dyDescent="0.25">
      <c r="A350"/>
      <c r="B350" s="649" t="s">
        <v>680</v>
      </c>
      <c r="C350" s="403"/>
      <c r="D350" s="403"/>
      <c r="E350" s="403"/>
      <c r="F350" s="403"/>
      <c r="G350" s="403"/>
      <c r="H350" s="403"/>
      <c r="I350" s="403"/>
      <c r="J350" s="403"/>
      <c r="K350" s="403"/>
      <c r="L350"/>
    </row>
    <row r="351" spans="1:12" s="401" customFormat="1" outlineLevel="1" x14ac:dyDescent="0.25">
      <c r="A351"/>
      <c r="B351" s="431" t="s">
        <v>681</v>
      </c>
      <c r="C351" s="405"/>
      <c r="D351" s="405"/>
      <c r="E351" s="405"/>
      <c r="F351" s="405"/>
      <c r="G351" s="405"/>
      <c r="H351" s="405"/>
      <c r="I351" s="405"/>
      <c r="J351" s="405"/>
      <c r="K351" s="405"/>
      <c r="L351"/>
    </row>
    <row r="352" spans="1:12" s="401" customFormat="1" outlineLevel="1" x14ac:dyDescent="0.25">
      <c r="A352"/>
      <c r="B352" s="406" t="s">
        <v>682</v>
      </c>
      <c r="C352" s="407"/>
      <c r="D352" s="408"/>
      <c r="E352" s="408"/>
      <c r="F352" s="408"/>
      <c r="G352" s="408"/>
      <c r="H352" s="408"/>
      <c r="I352" s="408"/>
      <c r="J352" s="408"/>
      <c r="K352" s="409"/>
      <c r="L352"/>
    </row>
    <row r="353" spans="1:12" s="401" customFormat="1" outlineLevel="1" x14ac:dyDescent="0.25">
      <c r="A353"/>
      <c r="B353" s="410" t="s">
        <v>683</v>
      </c>
      <c r="C353" s="411"/>
      <c r="D353" s="411"/>
      <c r="E353" s="411"/>
      <c r="F353" s="411"/>
      <c r="G353" s="411"/>
      <c r="H353" s="411"/>
      <c r="I353" s="411"/>
      <c r="J353" s="411"/>
      <c r="K353" s="411"/>
      <c r="L353"/>
    </row>
    <row r="354" spans="1:12" s="401" customFormat="1" outlineLevel="1" x14ac:dyDescent="0.25">
      <c r="A354"/>
      <c r="B354" s="412" t="s">
        <v>684</v>
      </c>
      <c r="C354" s="413"/>
      <c r="D354" s="414"/>
      <c r="E354" s="414"/>
      <c r="F354" s="414"/>
      <c r="G354" s="414"/>
      <c r="H354" s="414"/>
      <c r="I354" s="414"/>
      <c r="J354" s="414"/>
      <c r="K354" s="415"/>
      <c r="L354"/>
    </row>
    <row r="355" spans="1:12" s="401" customFormat="1" outlineLevel="1" x14ac:dyDescent="0.25">
      <c r="A355"/>
      <c r="B355" s="412" t="s">
        <v>685</v>
      </c>
      <c r="C355" s="416"/>
      <c r="D355" s="417"/>
      <c r="E355" s="417"/>
      <c r="F355" s="417"/>
      <c r="G355" s="417"/>
      <c r="H355" s="417"/>
      <c r="I355" s="417"/>
      <c r="J355" s="417"/>
      <c r="K355" s="418"/>
      <c r="L355"/>
    </row>
    <row r="356" spans="1:12" s="401" customFormat="1" outlineLevel="1" x14ac:dyDescent="0.25">
      <c r="A356"/>
      <c r="B356" s="412" t="s">
        <v>686</v>
      </c>
      <c r="C356" s="419"/>
      <c r="D356" s="420"/>
      <c r="E356" s="420"/>
      <c r="F356" s="420"/>
      <c r="G356" s="420"/>
      <c r="H356" s="420"/>
      <c r="I356" s="420"/>
      <c r="J356" s="420"/>
      <c r="K356" s="421"/>
      <c r="L356"/>
    </row>
    <row r="357" spans="1:12" s="401" customFormat="1" outlineLevel="1" x14ac:dyDescent="0.25">
      <c r="A357"/>
      <c r="B357" s="410" t="s">
        <v>687</v>
      </c>
      <c r="C357" s="411"/>
      <c r="D357" s="411"/>
      <c r="E357" s="411"/>
      <c r="F357" s="411"/>
      <c r="G357" s="411"/>
      <c r="H357" s="411"/>
      <c r="I357" s="411"/>
      <c r="J357" s="411"/>
      <c r="K357" s="411"/>
      <c r="L357"/>
    </row>
    <row r="358" spans="1:12" s="401" customFormat="1" outlineLevel="1" x14ac:dyDescent="0.25">
      <c r="A358"/>
      <c r="B358" s="412" t="s">
        <v>684</v>
      </c>
      <c r="C358" s="413"/>
      <c r="D358" s="414"/>
      <c r="E358" s="414"/>
      <c r="F358" s="414"/>
      <c r="G358" s="414"/>
      <c r="H358" s="414"/>
      <c r="I358" s="414"/>
      <c r="J358" s="414"/>
      <c r="K358" s="415"/>
      <c r="L358"/>
    </row>
    <row r="359" spans="1:12" s="401" customFormat="1" outlineLevel="1" x14ac:dyDescent="0.25">
      <c r="A359"/>
      <c r="B359" s="412" t="s">
        <v>685</v>
      </c>
      <c r="C359" s="416"/>
      <c r="D359" s="417"/>
      <c r="E359" s="417"/>
      <c r="F359" s="417"/>
      <c r="G359" s="417"/>
      <c r="H359" s="417"/>
      <c r="I359" s="417"/>
      <c r="J359" s="417"/>
      <c r="K359" s="418"/>
      <c r="L359"/>
    </row>
    <row r="360" spans="1:12" s="401" customFormat="1" outlineLevel="1" x14ac:dyDescent="0.25">
      <c r="A360"/>
      <c r="B360" s="412" t="s">
        <v>686</v>
      </c>
      <c r="C360" s="419"/>
      <c r="D360" s="420"/>
      <c r="E360" s="420"/>
      <c r="F360" s="420"/>
      <c r="G360" s="420"/>
      <c r="H360" s="420"/>
      <c r="I360" s="420"/>
      <c r="J360" s="420"/>
      <c r="K360" s="421"/>
      <c r="L360"/>
    </row>
    <row r="361" spans="1:12" s="401" customFormat="1" outlineLevel="1" x14ac:dyDescent="0.25">
      <c r="A361"/>
      <c r="B361" s="410" t="s">
        <v>688</v>
      </c>
      <c r="C361" s="411"/>
      <c r="D361" s="411"/>
      <c r="E361" s="411"/>
      <c r="F361" s="411"/>
      <c r="G361" s="411"/>
      <c r="H361" s="411"/>
      <c r="I361" s="411"/>
      <c r="J361" s="411"/>
      <c r="K361" s="411"/>
      <c r="L361"/>
    </row>
    <row r="362" spans="1:12" s="401" customFormat="1" outlineLevel="1" x14ac:dyDescent="0.25">
      <c r="A362"/>
      <c r="B362" s="412" t="s">
        <v>684</v>
      </c>
      <c r="C362" s="413"/>
      <c r="D362" s="414"/>
      <c r="E362" s="414"/>
      <c r="F362" s="414"/>
      <c r="G362" s="414"/>
      <c r="H362" s="414"/>
      <c r="I362" s="414"/>
      <c r="J362" s="414"/>
      <c r="K362" s="415"/>
      <c r="L362"/>
    </row>
    <row r="363" spans="1:12" s="401" customFormat="1" outlineLevel="1" x14ac:dyDescent="0.25">
      <c r="A363"/>
      <c r="B363" s="412" t="s">
        <v>685</v>
      </c>
      <c r="C363" s="416"/>
      <c r="D363" s="417"/>
      <c r="E363" s="417"/>
      <c r="F363" s="417"/>
      <c r="G363" s="417"/>
      <c r="H363" s="417"/>
      <c r="I363" s="417"/>
      <c r="J363" s="417"/>
      <c r="K363" s="418"/>
      <c r="L363"/>
    </row>
    <row r="364" spans="1:12" s="401" customFormat="1" outlineLevel="1" x14ac:dyDescent="0.25">
      <c r="A364"/>
      <c r="B364" s="412" t="s">
        <v>686</v>
      </c>
      <c r="C364" s="419"/>
      <c r="D364" s="420"/>
      <c r="E364" s="420"/>
      <c r="F364" s="420"/>
      <c r="G364" s="420"/>
      <c r="H364" s="420"/>
      <c r="I364" s="420"/>
      <c r="J364" s="420"/>
      <c r="K364" s="421"/>
      <c r="L364"/>
    </row>
    <row r="365" spans="1:12" s="401" customFormat="1" outlineLevel="1" x14ac:dyDescent="0.25">
      <c r="A365"/>
      <c r="B365" s="410" t="s">
        <v>689</v>
      </c>
      <c r="C365" s="411"/>
      <c r="D365" s="411"/>
      <c r="E365" s="411"/>
      <c r="F365" s="411"/>
      <c r="G365" s="411"/>
      <c r="H365" s="411"/>
      <c r="I365" s="411"/>
      <c r="J365" s="411"/>
      <c r="K365" s="411"/>
      <c r="L365"/>
    </row>
    <row r="366" spans="1:12" s="401" customFormat="1" outlineLevel="1" x14ac:dyDescent="0.25">
      <c r="A366"/>
      <c r="B366" s="412" t="s">
        <v>684</v>
      </c>
      <c r="C366" s="413"/>
      <c r="D366" s="414"/>
      <c r="E366" s="414"/>
      <c r="F366" s="414"/>
      <c r="G366" s="414"/>
      <c r="H366" s="414"/>
      <c r="I366" s="414"/>
      <c r="J366" s="414"/>
      <c r="K366" s="415"/>
      <c r="L366"/>
    </row>
    <row r="367" spans="1:12" s="401" customFormat="1" outlineLevel="1" x14ac:dyDescent="0.25">
      <c r="A367"/>
      <c r="B367" s="412" t="s">
        <v>685</v>
      </c>
      <c r="C367" s="416"/>
      <c r="D367" s="417"/>
      <c r="E367" s="417"/>
      <c r="F367" s="417"/>
      <c r="G367" s="417"/>
      <c r="H367" s="417"/>
      <c r="I367" s="417"/>
      <c r="J367" s="417"/>
      <c r="K367" s="418"/>
      <c r="L367"/>
    </row>
    <row r="368" spans="1:12" s="401" customFormat="1" outlineLevel="1" x14ac:dyDescent="0.25">
      <c r="A368"/>
      <c r="B368" s="412" t="s">
        <v>686</v>
      </c>
      <c r="C368" s="416"/>
      <c r="D368" s="417"/>
      <c r="E368" s="417"/>
      <c r="F368" s="417"/>
      <c r="G368" s="417"/>
      <c r="H368" s="417"/>
      <c r="I368" s="417"/>
      <c r="J368" s="417"/>
      <c r="K368" s="418"/>
      <c r="L368"/>
    </row>
    <row r="369" spans="1:12" s="401" customFormat="1" ht="22.5" customHeight="1" outlineLevel="1" thickBot="1" x14ac:dyDescent="0.3">
      <c r="A369"/>
      <c r="B369" s="422" t="s">
        <v>690</v>
      </c>
      <c r="C369" s="419"/>
      <c r="D369" s="420"/>
      <c r="E369" s="420"/>
      <c r="F369" s="420"/>
      <c r="G369" s="420"/>
      <c r="H369" s="420"/>
      <c r="I369" s="420"/>
      <c r="J369" s="420"/>
      <c r="K369" s="421"/>
      <c r="L369"/>
    </row>
    <row r="370" spans="1:12" s="401" customFormat="1" ht="12.95" customHeight="1" x14ac:dyDescent="0.25">
      <c r="A370"/>
      <c r="I370" s="1294"/>
      <c r="L370"/>
    </row>
    <row r="371" spans="1:12" s="401" customFormat="1" ht="12.95" customHeight="1" x14ac:dyDescent="0.25">
      <c r="A371"/>
      <c r="I371" s="1294"/>
      <c r="L371"/>
    </row>
    <row r="372" spans="1:12" s="401" customFormat="1" ht="12.95" customHeight="1" x14ac:dyDescent="0.25">
      <c r="A372"/>
      <c r="I372" s="1294"/>
      <c r="L372"/>
    </row>
  </sheetData>
  <mergeCells count="1">
    <mergeCell ref="C8:K8"/>
  </mergeCells>
  <dataValidations count="3">
    <dataValidation type="textLength" operator="lessThanOrEqual" allowBlank="1" showInputMessage="1" promptTitle="Provision" prompt="Enter brief description of provision" sqref="B11 B311 B331 B351 B31 B51 B71 B111 B131 B151 B171 B191 B211 B231 B251 B271 B291 B91">
      <formula1>150</formula1>
    </dataValidation>
    <dataValidation type="textLength" operator="lessThanOrEqual" allowBlank="1" showInputMessage="1" promptTitle="Provision" prompt="Enter name of provision" sqref="B30 B310 B330 B350 B50 B70 B90 B110 B130 B150 B170 B190 B210 B230 B250 B270 B290 B10">
      <formula1>50</formula1>
    </dataValidation>
    <dataValidation allowBlank="1" showInputMessage="1" showErrorMessage="1" sqref="C7:K372"/>
  </dataValidations>
  <pageMargins left="0.7" right="0.7" top="0.75" bottom="0.75" header="0.3" footer="0.3"/>
  <pageSetup paperSize="9" orientation="portrait" r:id="rId1"/>
  <customProperties>
    <customPr name="_pios_id" r:id="rId2"/>
    <customPr name="EpmWorksheetKeyString_GUID" r:id="rId3"/>
  </customProperties>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59999389629810485"/>
  </sheetPr>
  <dimension ref="A1:U20"/>
  <sheetViews>
    <sheetView showGridLines="0" zoomScale="80" zoomScaleNormal="80" workbookViewId="0">
      <selection activeCell="A2" sqref="A2"/>
    </sheetView>
  </sheetViews>
  <sheetFormatPr defaultColWidth="9.140625" defaultRowHeight="15" x14ac:dyDescent="0.25"/>
  <cols>
    <col min="1" max="1" width="16.28515625" style="345" bestFit="1" customWidth="1"/>
    <col min="2" max="2" width="78.140625" style="345" customWidth="1"/>
    <col min="3" max="8" width="18.7109375" style="345" customWidth="1"/>
    <col min="9" max="9" width="18.7109375" style="1294" customWidth="1"/>
    <col min="10" max="11" width="18.7109375" style="345" customWidth="1"/>
    <col min="12" max="14" width="9.140625" style="345"/>
    <col min="15" max="15" width="8.7109375" style="345" customWidth="1"/>
    <col min="16" max="16" width="8" style="345" customWidth="1"/>
    <col min="17" max="21" width="8.7109375" style="345" customWidth="1"/>
    <col min="22" max="16384" width="9.140625" style="345"/>
  </cols>
  <sheetData>
    <row r="1" spans="1:21" ht="30" customHeight="1" x14ac:dyDescent="0.25">
      <c r="B1" s="103" t="str">
        <f>IF(dms_MultiYear_ResponseFlag="Yes","REGULATORY REPORTING STATEMENT - HISTORICAL INFORMATION",INDEX(dms_Worksheet_List,MATCH(dms_Model,dms_Model_List)))</f>
        <v>REGULATORY REPORTING STATEMENT - HISTORICAL INFORMATION</v>
      </c>
      <c r="C1" s="76"/>
      <c r="D1" s="76"/>
      <c r="E1" s="76"/>
      <c r="F1" s="76"/>
      <c r="G1" s="76"/>
      <c r="H1" s="76"/>
      <c r="I1" s="76"/>
      <c r="J1" s="76"/>
      <c r="K1" s="76"/>
    </row>
    <row r="2" spans="1:21" ht="30" customHeight="1" x14ac:dyDescent="0.25">
      <c r="B2" s="103" t="str">
        <f>INDEX(dms_TradingNameFull_List,MATCH(dms_TradingName,dms_TradingName_List))</f>
        <v>AusNet Gas Services</v>
      </c>
      <c r="C2" s="76"/>
      <c r="D2" s="76"/>
      <c r="E2" s="76"/>
      <c r="F2" s="76"/>
      <c r="G2" s="76"/>
      <c r="H2" s="76"/>
      <c r="I2" s="76"/>
      <c r="J2" s="76"/>
      <c r="K2" s="76"/>
    </row>
    <row r="3" spans="1:21" ht="30" customHeight="1" x14ac:dyDescent="0.25">
      <c r="B3" s="103" t="str">
        <f>CONCATENATE(CRY," to ",dms_MultiYear_FinalYear_Result)</f>
        <v>2011 to 2019</v>
      </c>
      <c r="C3" s="76"/>
      <c r="D3" s="76"/>
      <c r="E3" s="76"/>
      <c r="F3" s="76"/>
      <c r="G3" s="76"/>
      <c r="H3" s="76"/>
      <c r="I3" s="76"/>
      <c r="J3" s="76"/>
      <c r="K3" s="76"/>
    </row>
    <row r="4" spans="1:21" ht="30" customHeight="1" x14ac:dyDescent="0.25">
      <c r="B4" s="83" t="s">
        <v>691</v>
      </c>
      <c r="C4" s="323"/>
      <c r="D4" s="323"/>
      <c r="E4" s="323"/>
      <c r="F4" s="323"/>
      <c r="G4" s="323"/>
      <c r="H4" s="323"/>
      <c r="I4" s="323"/>
      <c r="J4" s="323"/>
      <c r="K4" s="323"/>
    </row>
    <row r="5" spans="1:21" ht="15.75" thickBot="1" x14ac:dyDescent="0.3"/>
    <row r="6" spans="1:21" s="436" customFormat="1" ht="26.25" customHeight="1" thickBot="1" x14ac:dyDescent="0.3">
      <c r="A6" s="435"/>
      <c r="B6" s="84" t="s">
        <v>853</v>
      </c>
      <c r="C6" s="84"/>
      <c r="D6" s="84"/>
      <c r="E6" s="84"/>
      <c r="F6" s="84"/>
      <c r="G6" s="84"/>
      <c r="H6" s="84"/>
      <c r="I6" s="84"/>
      <c r="J6" s="84"/>
      <c r="K6" s="84"/>
      <c r="L6" s="434"/>
      <c r="O6" s="434"/>
      <c r="P6" s="434"/>
      <c r="Q6" s="434"/>
    </row>
    <row r="7" spans="1:21" s="437" customFormat="1" ht="15" customHeight="1" x14ac:dyDescent="0.25">
      <c r="A7" s="345"/>
      <c r="B7" s="345"/>
      <c r="C7" s="1659" t="s">
        <v>637</v>
      </c>
      <c r="D7" s="1659"/>
      <c r="E7" s="1659"/>
      <c r="F7" s="1659"/>
      <c r="G7" s="1659"/>
      <c r="H7" s="1659"/>
      <c r="I7" s="1659"/>
      <c r="J7" s="1659"/>
      <c r="K7" s="1660"/>
      <c r="L7" s="434"/>
      <c r="M7" s="434"/>
      <c r="N7" s="434"/>
      <c r="O7" s="434"/>
      <c r="P7" s="434"/>
      <c r="Q7" s="434"/>
      <c r="R7" s="434"/>
      <c r="S7" s="434"/>
      <c r="T7" s="434"/>
      <c r="U7" s="434"/>
    </row>
    <row r="8" spans="1:21" s="437" customFormat="1" ht="15" customHeight="1" x14ac:dyDescent="0.25">
      <c r="A8" s="345"/>
      <c r="B8" s="345"/>
      <c r="C8" s="1661" t="s">
        <v>638</v>
      </c>
      <c r="D8" s="1661"/>
      <c r="E8" s="1661"/>
      <c r="F8" s="1661"/>
      <c r="G8" s="1661"/>
      <c r="H8" s="1661"/>
      <c r="I8" s="1661"/>
      <c r="J8" s="1661"/>
      <c r="K8" s="1662"/>
      <c r="L8" s="434"/>
      <c r="M8" s="434"/>
      <c r="N8" s="434"/>
      <c r="O8" s="434"/>
      <c r="P8" s="434"/>
      <c r="Q8" s="434"/>
      <c r="R8" s="434"/>
      <c r="S8" s="434"/>
      <c r="T8" s="434"/>
      <c r="U8" s="434"/>
    </row>
    <row r="9" spans="1:21" s="437" customFormat="1" ht="18" customHeight="1" thickBot="1" x14ac:dyDescent="0.3">
      <c r="A9" s="345"/>
      <c r="B9" s="450" t="s">
        <v>639</v>
      </c>
      <c r="C9" s="444">
        <f ca="1">dms_y1</f>
        <v>2011</v>
      </c>
      <c r="D9" s="445">
        <f ca="1">dms_y2</f>
        <v>2012</v>
      </c>
      <c r="E9" s="445">
        <f ca="1">dms_y3</f>
        <v>2013</v>
      </c>
      <c r="F9" s="445">
        <f ca="1">dms_y4</f>
        <v>2014</v>
      </c>
      <c r="G9" s="445">
        <f ca="1">dms_y5</f>
        <v>2015</v>
      </c>
      <c r="H9" s="1318">
        <f ca="1">dms_y6</f>
        <v>2016</v>
      </c>
      <c r="I9" s="1318">
        <f ca="1">dms_y7</f>
        <v>2017</v>
      </c>
      <c r="J9" s="1318">
        <f ca="1">dms_y8</f>
        <v>2018</v>
      </c>
      <c r="K9" s="1318">
        <f ca="1">dms_y9</f>
        <v>2019</v>
      </c>
      <c r="L9" s="434"/>
      <c r="M9" s="434"/>
      <c r="N9" s="434"/>
      <c r="O9" s="434"/>
      <c r="P9" s="434"/>
      <c r="Q9" s="434"/>
      <c r="R9" s="434"/>
      <c r="S9" s="434"/>
      <c r="T9" s="434"/>
      <c r="U9" s="434"/>
    </row>
    <row r="10" spans="1:21" s="434" customFormat="1" x14ac:dyDescent="0.25">
      <c r="A10" s="433"/>
      <c r="B10" s="1424" t="s">
        <v>1359</v>
      </c>
      <c r="C10" s="360">
        <v>0</v>
      </c>
      <c r="D10" s="361">
        <v>0</v>
      </c>
      <c r="E10" s="361">
        <v>2507826.4477243931</v>
      </c>
      <c r="F10" s="1392">
        <v>4502041.5429690713</v>
      </c>
      <c r="G10" s="1422">
        <v>272427.63538400072</v>
      </c>
      <c r="H10" s="1423">
        <v>164745.32193176131</v>
      </c>
      <c r="I10" s="1392">
        <v>8324098.3114386853</v>
      </c>
      <c r="J10" s="361">
        <v>0</v>
      </c>
      <c r="K10" s="364">
        <v>0</v>
      </c>
    </row>
    <row r="11" spans="1:21" s="434" customFormat="1" x14ac:dyDescent="0.25">
      <c r="A11" s="433"/>
      <c r="B11" s="1425"/>
      <c r="C11" s="370"/>
      <c r="D11" s="354"/>
      <c r="E11" s="354"/>
      <c r="F11" s="354"/>
      <c r="G11" s="371"/>
      <c r="H11" s="439"/>
      <c r="I11" s="353"/>
      <c r="J11" s="354"/>
      <c r="K11" s="355"/>
    </row>
    <row r="12" spans="1:21" s="434" customFormat="1" x14ac:dyDescent="0.25">
      <c r="A12" s="433"/>
      <c r="B12" s="1425"/>
      <c r="C12" s="370"/>
      <c r="D12" s="354"/>
      <c r="E12" s="354"/>
      <c r="F12" s="354"/>
      <c r="G12" s="371"/>
      <c r="H12" s="439"/>
      <c r="I12" s="353"/>
      <c r="J12" s="354"/>
      <c r="K12" s="355"/>
    </row>
    <row r="13" spans="1:21" s="434" customFormat="1" x14ac:dyDescent="0.25">
      <c r="A13" s="433"/>
      <c r="B13" s="1425"/>
      <c r="C13" s="370"/>
      <c r="D13" s="354"/>
      <c r="E13" s="354"/>
      <c r="F13" s="354"/>
      <c r="G13" s="371"/>
      <c r="H13" s="439"/>
      <c r="I13" s="1362"/>
      <c r="J13" s="354"/>
      <c r="K13" s="355"/>
    </row>
    <row r="14" spans="1:21" s="434" customFormat="1" x14ac:dyDescent="0.25">
      <c r="A14" s="433"/>
      <c r="B14" s="448"/>
      <c r="C14" s="370"/>
      <c r="D14" s="354"/>
      <c r="E14" s="354"/>
      <c r="F14" s="354"/>
      <c r="G14" s="371"/>
      <c r="H14" s="439"/>
      <c r="I14" s="353"/>
      <c r="J14" s="354"/>
      <c r="K14" s="355"/>
    </row>
    <row r="15" spans="1:21" s="434" customFormat="1" x14ac:dyDescent="0.25">
      <c r="A15" s="433"/>
      <c r="B15" s="448"/>
      <c r="C15" s="370"/>
      <c r="D15" s="354"/>
      <c r="E15" s="354"/>
      <c r="F15" s="354"/>
      <c r="G15" s="371"/>
      <c r="H15" s="439"/>
      <c r="I15" s="353"/>
      <c r="J15" s="354"/>
      <c r="K15" s="355"/>
    </row>
    <row r="16" spans="1:21" s="434" customFormat="1" x14ac:dyDescent="0.25">
      <c r="A16" s="433"/>
      <c r="B16" s="448"/>
      <c r="C16" s="370"/>
      <c r="D16" s="354"/>
      <c r="E16" s="354"/>
      <c r="F16" s="354"/>
      <c r="G16" s="371"/>
      <c r="H16" s="439"/>
      <c r="I16" s="353"/>
      <c r="J16" s="354"/>
      <c r="K16" s="355"/>
    </row>
    <row r="17" spans="1:11" s="434" customFormat="1" ht="15" customHeight="1" thickBot="1" x14ac:dyDescent="0.3">
      <c r="A17" s="433"/>
      <c r="B17" s="449"/>
      <c r="C17" s="440"/>
      <c r="D17" s="441"/>
      <c r="E17" s="441"/>
      <c r="F17" s="441"/>
      <c r="G17" s="442"/>
      <c r="H17" s="443"/>
      <c r="I17" s="356"/>
      <c r="J17" s="357"/>
      <c r="K17" s="358"/>
    </row>
    <row r="18" spans="1:11" s="434" customFormat="1" ht="15.75" thickBot="1" x14ac:dyDescent="0.3">
      <c r="A18" s="433"/>
      <c r="B18" s="391" t="s">
        <v>640</v>
      </c>
      <c r="C18" s="392">
        <f>SUM(C10:C17)</f>
        <v>0</v>
      </c>
      <c r="D18" s="392">
        <f t="shared" ref="D18:K18" si="0">SUM(D10:D17)</f>
        <v>0</v>
      </c>
      <c r="E18" s="392">
        <f t="shared" si="0"/>
        <v>2507826.4477243931</v>
      </c>
      <c r="F18" s="392">
        <f t="shared" si="0"/>
        <v>4502041.5429690713</v>
      </c>
      <c r="G18" s="392">
        <f t="shared" si="0"/>
        <v>272427.63538400072</v>
      </c>
      <c r="H18" s="392">
        <f t="shared" si="0"/>
        <v>164745.32193176131</v>
      </c>
      <c r="I18" s="392">
        <f t="shared" si="0"/>
        <v>8324098.3114386853</v>
      </c>
      <c r="J18" s="392">
        <f t="shared" si="0"/>
        <v>0</v>
      </c>
      <c r="K18" s="392">
        <f t="shared" si="0"/>
        <v>0</v>
      </c>
    </row>
    <row r="19" spans="1:11" s="434" customFormat="1" x14ac:dyDescent="0.25">
      <c r="I19" s="1294"/>
    </row>
    <row r="20" spans="1:11" s="434" customFormat="1" x14ac:dyDescent="0.25">
      <c r="I20" s="1294"/>
    </row>
  </sheetData>
  <mergeCells count="2">
    <mergeCell ref="C7:K7"/>
    <mergeCell ref="C8:K8"/>
  </mergeCells>
  <pageMargins left="0.7" right="0.7" top="0.75" bottom="0.75" header="0.3" footer="0.3"/>
  <pageSetup orientation="portrait" horizontalDpi="300" verticalDpi="300" r:id="rId1"/>
  <customProperties>
    <customPr name="_pios_id" r:id="rId2"/>
    <customPr name="EpmWorksheetKeyString_GUID" r:id="rId3"/>
  </customProperties>
  <drawing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39997558519241921"/>
  </sheetPr>
  <dimension ref="B1:K17"/>
  <sheetViews>
    <sheetView showGridLines="0" zoomScale="80" zoomScaleNormal="80" workbookViewId="0">
      <selection activeCell="A2" sqref="A2"/>
    </sheetView>
  </sheetViews>
  <sheetFormatPr defaultColWidth="9.140625" defaultRowHeight="15" x14ac:dyDescent="0.25"/>
  <cols>
    <col min="1" max="1" width="28.7109375" style="1259" customWidth="1"/>
    <col min="2" max="2" width="52" style="1259" customWidth="1"/>
    <col min="3" max="8" width="20.7109375" style="1259" customWidth="1"/>
    <col min="9" max="9" width="20.7109375" style="1294" customWidth="1"/>
    <col min="10" max="10" width="20.7109375" style="1280" customWidth="1"/>
    <col min="11" max="11" width="20.7109375" style="1259" customWidth="1"/>
    <col min="12" max="12" width="9.42578125" style="1259" customWidth="1"/>
    <col min="13" max="16384" width="9.140625" style="1259"/>
  </cols>
  <sheetData>
    <row r="1" spans="2:11" ht="30" customHeight="1" x14ac:dyDescent="0.25">
      <c r="B1" s="1180" t="str">
        <f>IF(dms_MultiYear_ResponseFlag="Yes","REGULATORY REPORTING STATEMENT - HISTORICAL INFORMATION",INDEX(dms_Worksheet_List,MATCH(dms_Model,dms_Model_List)))</f>
        <v>REGULATORY REPORTING STATEMENT - HISTORICAL INFORMATION</v>
      </c>
      <c r="C1" s="76"/>
      <c r="D1" s="76"/>
      <c r="E1" s="76"/>
      <c r="F1" s="76"/>
      <c r="G1" s="76"/>
      <c r="H1" s="76"/>
      <c r="I1" s="76"/>
      <c r="J1" s="76"/>
      <c r="K1" s="76"/>
    </row>
    <row r="2" spans="2:11" ht="30" customHeight="1" x14ac:dyDescent="0.25">
      <c r="B2" s="1180" t="str">
        <f>INDEX(dms_TradingNameFull_List,MATCH(dms_TradingName,dms_TradingName_List))</f>
        <v>AusNet Gas Services</v>
      </c>
      <c r="C2" s="76"/>
      <c r="D2" s="76"/>
      <c r="E2" s="76"/>
      <c r="F2" s="76"/>
      <c r="G2" s="76"/>
      <c r="H2" s="76"/>
      <c r="I2" s="76"/>
      <c r="J2" s="76"/>
      <c r="K2" s="76"/>
    </row>
    <row r="3" spans="2:11" ht="30" customHeight="1" x14ac:dyDescent="0.25">
      <c r="B3" s="1181" t="str">
        <f>dms_Header_Span</f>
        <v>2011 to 2019</v>
      </c>
      <c r="C3" s="76"/>
      <c r="D3" s="76"/>
      <c r="E3" s="76"/>
      <c r="F3" s="76"/>
      <c r="G3" s="76"/>
      <c r="H3" s="76"/>
      <c r="I3" s="76"/>
      <c r="J3" s="76"/>
      <c r="K3" s="76"/>
    </row>
    <row r="4" spans="2:11" ht="30" customHeight="1" x14ac:dyDescent="0.25">
      <c r="B4" s="83" t="s">
        <v>1187</v>
      </c>
      <c r="C4" s="83"/>
      <c r="D4" s="83"/>
      <c r="E4" s="83"/>
      <c r="F4" s="83"/>
      <c r="G4" s="83"/>
      <c r="H4" s="83"/>
      <c r="I4" s="83"/>
      <c r="J4" s="83"/>
      <c r="K4" s="83"/>
    </row>
    <row r="6" spans="2:11" ht="15.75" thickBot="1" x14ac:dyDescent="0.3"/>
    <row r="7" spans="2:11" ht="16.5" thickBot="1" x14ac:dyDescent="0.3">
      <c r="B7" s="84" t="s">
        <v>1186</v>
      </c>
      <c r="C7" s="84"/>
      <c r="D7" s="84"/>
      <c r="E7" s="84"/>
      <c r="F7" s="84"/>
      <c r="G7" s="84"/>
      <c r="H7" s="84"/>
      <c r="I7" s="84"/>
      <c r="J7" s="84"/>
      <c r="K7" s="84"/>
    </row>
    <row r="8" spans="2:11" x14ac:dyDescent="0.25">
      <c r="C8" s="1527" t="s">
        <v>1195</v>
      </c>
      <c r="D8" s="1528"/>
      <c r="E8" s="1528"/>
      <c r="F8" s="1528"/>
      <c r="G8" s="1528"/>
      <c r="H8" s="1528"/>
      <c r="I8" s="1714"/>
      <c r="J8" s="1714"/>
      <c r="K8" s="1529"/>
    </row>
    <row r="9" spans="2:11" ht="15.75" thickBot="1" x14ac:dyDescent="0.3">
      <c r="C9" s="1530" t="s">
        <v>181</v>
      </c>
      <c r="D9" s="1531"/>
      <c r="E9" s="1531"/>
      <c r="F9" s="1531"/>
      <c r="G9" s="1531"/>
      <c r="H9" s="1531"/>
      <c r="I9" s="1715"/>
      <c r="J9" s="1715"/>
      <c r="K9" s="1532"/>
    </row>
    <row r="10" spans="2:11" ht="15.75" thickBot="1" x14ac:dyDescent="0.3">
      <c r="C10" s="444">
        <f ca="1">dms_y1</f>
        <v>2011</v>
      </c>
      <c r="D10" s="445">
        <f ca="1">dms_y2</f>
        <v>2012</v>
      </c>
      <c r="E10" s="445">
        <f ca="1">dms_y3</f>
        <v>2013</v>
      </c>
      <c r="F10" s="445">
        <f ca="1">dms_y4</f>
        <v>2014</v>
      </c>
      <c r="G10" s="445">
        <f ca="1">dms_y5</f>
        <v>2015</v>
      </c>
      <c r="H10" s="1318">
        <f ca="1">dms_y6</f>
        <v>2016</v>
      </c>
      <c r="I10" s="1318">
        <f ca="1">dms_y7</f>
        <v>2017</v>
      </c>
      <c r="J10" s="1318">
        <f ca="1">dms_y8</f>
        <v>2018</v>
      </c>
      <c r="K10" s="1318">
        <f ca="1">dms_y9</f>
        <v>2019</v>
      </c>
    </row>
    <row r="11" spans="2:11" x14ac:dyDescent="0.25">
      <c r="B11" s="495" t="s">
        <v>1188</v>
      </c>
      <c r="C11" s="496"/>
      <c r="D11" s="496"/>
      <c r="E11" s="496"/>
      <c r="F11" s="496"/>
      <c r="G11" s="496"/>
      <c r="H11" s="496"/>
      <c r="I11" s="496"/>
      <c r="J11" s="496"/>
      <c r="K11" s="497"/>
    </row>
    <row r="12" spans="2:11" x14ac:dyDescent="0.25">
      <c r="B12" s="620" t="s">
        <v>1189</v>
      </c>
      <c r="C12" s="477">
        <v>1152303704.9825644</v>
      </c>
      <c r="D12" s="477">
        <v>1211543975.774878</v>
      </c>
      <c r="E12" s="477">
        <v>1287350987.4855974</v>
      </c>
      <c r="F12" s="477">
        <v>1351450756.8940611</v>
      </c>
      <c r="G12" s="477">
        <v>1419909936.7920811</v>
      </c>
      <c r="H12" s="477">
        <v>1483855739.1138794</v>
      </c>
      <c r="I12" s="1282">
        <v>1523631042.9336932</v>
      </c>
      <c r="J12" s="1282">
        <v>1558095802.9343717</v>
      </c>
      <c r="K12" s="479">
        <v>1606625186.4941211</v>
      </c>
    </row>
    <row r="13" spans="2:11" x14ac:dyDescent="0.25">
      <c r="B13" s="588" t="s">
        <v>1190</v>
      </c>
      <c r="C13" s="334">
        <v>32122345.275314886</v>
      </c>
      <c r="D13" s="334">
        <v>42645229.383881949</v>
      </c>
      <c r="E13" s="334">
        <v>25798616.983679328</v>
      </c>
      <c r="F13" s="334">
        <v>29206204.962347038</v>
      </c>
      <c r="G13" s="334">
        <v>32767152.38750976</v>
      </c>
      <c r="H13" s="334">
        <v>22313620.137050655</v>
      </c>
      <c r="I13" s="1363">
        <v>19750772.778770249</v>
      </c>
      <c r="J13" s="486">
        <v>30128924.366134271</v>
      </c>
      <c r="K13" s="299">
        <v>33380649.764557283</v>
      </c>
    </row>
    <row r="14" spans="2:11" x14ac:dyDescent="0.25">
      <c r="B14" s="588" t="s">
        <v>1191</v>
      </c>
      <c r="C14" s="334">
        <v>-52224677.082616143</v>
      </c>
      <c r="D14" s="334">
        <v>-55178418.523145266</v>
      </c>
      <c r="E14" s="334">
        <v>-48472675.921433993</v>
      </c>
      <c r="F14" s="334">
        <v>-54815094.842440769</v>
      </c>
      <c r="G14" s="334">
        <v>-61378882.815684818</v>
      </c>
      <c r="H14" s="334">
        <v>-66238616.495098159</v>
      </c>
      <c r="I14" s="486">
        <v>-70461747.703233168</v>
      </c>
      <c r="J14" s="486">
        <v>-79444828.621457994</v>
      </c>
      <c r="K14" s="299">
        <v>-70288123.792182207</v>
      </c>
    </row>
    <row r="15" spans="2:11" x14ac:dyDescent="0.25">
      <c r="B15" s="588" t="s">
        <v>1192</v>
      </c>
      <c r="C15" s="1319">
        <v>79342602.599614471</v>
      </c>
      <c r="D15" s="334">
        <v>89369038.399982482</v>
      </c>
      <c r="E15" s="334">
        <v>86773828.346218452</v>
      </c>
      <c r="F15" s="334">
        <v>94068069.778113902</v>
      </c>
      <c r="G15" s="334">
        <v>92557532.74997355</v>
      </c>
      <c r="H15" s="334">
        <v>83700300.177860618</v>
      </c>
      <c r="I15" s="486">
        <v>85175734.925142035</v>
      </c>
      <c r="J15" s="486">
        <v>98440428.285072982</v>
      </c>
      <c r="K15" s="299">
        <v>105793743.19696765</v>
      </c>
    </row>
    <row r="16" spans="2:11" x14ac:dyDescent="0.25">
      <c r="B16" s="611" t="s">
        <v>1193</v>
      </c>
      <c r="C16" s="1320">
        <v>0</v>
      </c>
      <c r="D16" s="470">
        <v>-1028837.55</v>
      </c>
      <c r="E16" s="470">
        <v>0</v>
      </c>
      <c r="F16" s="470">
        <v>0</v>
      </c>
      <c r="G16" s="470">
        <v>0</v>
      </c>
      <c r="H16" s="470">
        <v>0</v>
      </c>
      <c r="I16" s="473">
        <v>0</v>
      </c>
      <c r="J16" s="473">
        <v>-595140.47</v>
      </c>
      <c r="K16" s="471">
        <v>0</v>
      </c>
    </row>
    <row r="17" spans="2:11" ht="15.75" thickBot="1" x14ac:dyDescent="0.3">
      <c r="B17" s="1355" t="s">
        <v>1194</v>
      </c>
      <c r="C17" s="1353">
        <v>1211543975.7748775</v>
      </c>
      <c r="D17" s="1353">
        <v>1287350987.4855974</v>
      </c>
      <c r="E17" s="1353">
        <v>1351450756.8940611</v>
      </c>
      <c r="F17" s="1353">
        <v>1419909936.7920811</v>
      </c>
      <c r="G17" s="1353">
        <v>1483855739.1138797</v>
      </c>
      <c r="H17" s="1353">
        <v>1523631042.9336925</v>
      </c>
      <c r="I17" s="1353">
        <v>1558095802.9343722</v>
      </c>
      <c r="J17" s="1353">
        <v>1606625186.4941208</v>
      </c>
      <c r="K17" s="1354">
        <v>1675511455.6634638</v>
      </c>
    </row>
  </sheetData>
  <mergeCells count="2">
    <mergeCell ref="C8:K8"/>
    <mergeCell ref="C9:K9"/>
  </mergeCells>
  <dataValidations count="1">
    <dataValidation allowBlank="1" showInputMessage="1" showErrorMessage="1" sqref="C8:K9 C10:J10"/>
  </dataValidations>
  <pageMargins left="0.7" right="0.7" top="0.75" bottom="0.75" header="0.3" footer="0.3"/>
  <pageSetup paperSize="9" orientation="portrait" r:id="rId1"/>
  <customProperties>
    <customPr name="_pios_id" r:id="rId2"/>
    <customPr name="EpmWorksheetKeyString_GUID" r:id="rId3"/>
  </customProperties>
  <drawing r:id="rId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14999847407452621"/>
  </sheetPr>
  <dimension ref="A1"/>
  <sheetViews>
    <sheetView workbookViewId="0">
      <selection activeCell="A2" sqref="A2"/>
    </sheetView>
  </sheetViews>
  <sheetFormatPr defaultColWidth="8.7109375" defaultRowHeight="15" x14ac:dyDescent="0.25"/>
  <cols>
    <col min="1" max="16384" width="8.7109375" style="1246"/>
  </cols>
  <sheetData/>
  <pageMargins left="0.7" right="0.7" top="0.75" bottom="0.75" header="0.3" footer="0.3"/>
  <pageSetup paperSize="9" orientation="portrait" r:id="rId1"/>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7" tint="-0.249977111117893"/>
  </sheetPr>
  <dimension ref="A1:CK237"/>
  <sheetViews>
    <sheetView showGridLines="0" zoomScale="80" zoomScaleNormal="80" workbookViewId="0">
      <selection activeCell="B2" sqref="B2:E2"/>
    </sheetView>
  </sheetViews>
  <sheetFormatPr defaultColWidth="9.140625" defaultRowHeight="15" x14ac:dyDescent="0.25"/>
  <cols>
    <col min="1" max="1" width="9.140625" style="521"/>
    <col min="2" max="2" width="47.28515625" style="521" bestFit="1" customWidth="1"/>
    <col min="3" max="3" width="40.7109375" style="521" customWidth="1"/>
    <col min="4" max="4" width="31.42578125" style="521" bestFit="1" customWidth="1"/>
    <col min="5" max="5" width="33.140625" style="521" bestFit="1" customWidth="1"/>
    <col min="6" max="6" width="43.140625" style="521" customWidth="1"/>
    <col min="7" max="7" width="38.7109375" style="521" customWidth="1"/>
    <col min="8" max="8" width="24.28515625" style="521" customWidth="1"/>
    <col min="9" max="9" width="28.140625" style="521" customWidth="1"/>
    <col min="10" max="10" width="29" style="521" customWidth="1"/>
    <col min="11" max="11" width="23.7109375" style="521" customWidth="1"/>
    <col min="12" max="13" width="28.28515625" style="521" customWidth="1"/>
    <col min="14" max="14" width="24.5703125" style="521" bestFit="1" customWidth="1"/>
    <col min="15" max="15" width="33" style="521" customWidth="1"/>
    <col min="16" max="16" width="47" style="521" customWidth="1"/>
    <col min="17" max="17" width="40.140625" style="521" customWidth="1"/>
    <col min="18" max="18" width="24.85546875" style="521" bestFit="1" customWidth="1"/>
    <col min="19" max="19" width="22.7109375" style="521" bestFit="1" customWidth="1"/>
    <col min="20" max="20" width="22" style="521" bestFit="1" customWidth="1"/>
    <col min="21" max="22" width="9.140625" style="521"/>
    <col min="23" max="23" width="9.140625" style="521" customWidth="1"/>
    <col min="24" max="16384" width="9.140625" style="521"/>
  </cols>
  <sheetData>
    <row r="1" spans="2:28" ht="51" customHeight="1" x14ac:dyDescent="0.25">
      <c r="B1" s="651" t="s">
        <v>937</v>
      </c>
      <c r="C1" s="652"/>
      <c r="D1" s="652"/>
      <c r="E1" s="652"/>
      <c r="F1" s="652"/>
      <c r="G1" s="652"/>
      <c r="H1" s="652"/>
      <c r="I1" s="652"/>
      <c r="J1" s="652"/>
      <c r="K1" s="652"/>
      <c r="L1" s="652"/>
      <c r="M1" s="652"/>
      <c r="N1" s="652"/>
    </row>
    <row r="2" spans="2:28" ht="30" customHeight="1" x14ac:dyDescent="0.25"/>
    <row r="3" spans="2:28" ht="28.5" x14ac:dyDescent="0.45">
      <c r="B3" s="695" t="s">
        <v>938</v>
      </c>
      <c r="C3" s="695"/>
      <c r="D3" s="695"/>
      <c r="E3" s="695"/>
      <c r="F3" s="695"/>
      <c r="G3" s="695"/>
      <c r="H3" s="695"/>
      <c r="I3" s="695"/>
      <c r="J3" s="695"/>
      <c r="K3" s="695"/>
      <c r="L3" s="695"/>
      <c r="M3" s="695"/>
      <c r="N3" s="695"/>
    </row>
    <row r="4" spans="2:28" ht="30" customHeight="1" thickBot="1" x14ac:dyDescent="0.3"/>
    <row r="5" spans="2:28" ht="29.25" customHeight="1" x14ac:dyDescent="0.25">
      <c r="B5" s="1544" t="s">
        <v>939</v>
      </c>
      <c r="C5" s="696" t="s">
        <v>228</v>
      </c>
      <c r="D5" s="696" t="s">
        <v>788</v>
      </c>
      <c r="E5" s="613"/>
      <c r="F5" s="432"/>
      <c r="W5" s="432"/>
      <c r="X5" s="432"/>
      <c r="AA5" s="697"/>
      <c r="AB5" s="697"/>
    </row>
    <row r="6" spans="2:28" ht="15" customHeight="1" x14ac:dyDescent="0.25">
      <c r="B6" s="1544"/>
      <c r="C6" s="698" t="s">
        <v>940</v>
      </c>
      <c r="D6" s="698" t="s">
        <v>940</v>
      </c>
      <c r="E6" s="613"/>
      <c r="F6" s="432"/>
      <c r="W6" s="432"/>
      <c r="X6" s="432"/>
      <c r="AA6" s="697"/>
      <c r="AB6" s="697"/>
    </row>
    <row r="7" spans="2:28" ht="15" customHeight="1" x14ac:dyDescent="0.25">
      <c r="B7" s="1544"/>
      <c r="C7" s="699" t="s">
        <v>229</v>
      </c>
      <c r="D7" s="700" t="s">
        <v>234</v>
      </c>
      <c r="E7" s="126"/>
      <c r="S7" s="432"/>
      <c r="T7" s="432"/>
      <c r="U7" s="432"/>
      <c r="V7" s="432"/>
      <c r="W7" s="432"/>
      <c r="X7" s="432"/>
    </row>
    <row r="8" spans="2:28" ht="15" customHeight="1" x14ac:dyDescent="0.25">
      <c r="B8" s="1544"/>
      <c r="C8" s="701" t="s">
        <v>231</v>
      </c>
      <c r="D8" s="702" t="s">
        <v>787</v>
      </c>
      <c r="E8" s="126"/>
      <c r="S8" s="432"/>
      <c r="T8" s="432"/>
      <c r="U8" s="432"/>
      <c r="V8" s="432"/>
      <c r="W8" s="432"/>
      <c r="X8" s="432"/>
    </row>
    <row r="9" spans="2:28" ht="15" customHeight="1" x14ac:dyDescent="0.25">
      <c r="B9" s="1544"/>
      <c r="C9" s="701" t="s">
        <v>232</v>
      </c>
      <c r="D9" s="703"/>
      <c r="E9" s="126"/>
      <c r="S9" s="432"/>
      <c r="T9" s="432"/>
      <c r="U9" s="432"/>
      <c r="V9" s="432"/>
      <c r="W9" s="432"/>
      <c r="X9" s="432"/>
    </row>
    <row r="10" spans="2:28" ht="15.75" customHeight="1" thickBot="1" x14ac:dyDescent="0.3">
      <c r="B10" s="1544"/>
      <c r="C10" s="704"/>
      <c r="D10" s="705"/>
      <c r="E10" s="126"/>
      <c r="S10" s="432"/>
      <c r="T10" s="432"/>
      <c r="U10" s="432"/>
      <c r="V10" s="432"/>
      <c r="W10" s="432"/>
      <c r="X10" s="432"/>
    </row>
    <row r="11" spans="2:28" ht="15.75" thickBot="1" x14ac:dyDescent="0.3">
      <c r="B11" s="1544"/>
      <c r="C11" s="488"/>
      <c r="D11" s="24"/>
      <c r="E11" s="126"/>
      <c r="S11" s="432"/>
      <c r="T11" s="432"/>
      <c r="U11" s="432"/>
      <c r="V11" s="432"/>
      <c r="W11" s="432"/>
      <c r="X11" s="432"/>
    </row>
    <row r="12" spans="2:28" ht="86.25" thickBot="1" x14ac:dyDescent="0.3">
      <c r="B12" s="1544"/>
      <c r="C12" s="706" t="s">
        <v>236</v>
      </c>
      <c r="D12" s="706" t="s">
        <v>237</v>
      </c>
      <c r="G12" s="126"/>
      <c r="H12" s="127"/>
      <c r="S12" s="432"/>
      <c r="T12" s="432"/>
      <c r="U12" s="432"/>
      <c r="V12" s="432"/>
      <c r="W12" s="432"/>
      <c r="X12" s="432"/>
    </row>
    <row r="13" spans="2:28" ht="24" customHeight="1" thickBot="1" x14ac:dyDescent="0.3">
      <c r="B13" s="1544"/>
      <c r="C13" s="696" t="s">
        <v>239</v>
      </c>
      <c r="D13" s="696" t="s">
        <v>240</v>
      </c>
      <c r="G13" s="126"/>
      <c r="H13" s="127"/>
      <c r="S13" s="432"/>
      <c r="T13" s="432"/>
      <c r="U13" s="432"/>
      <c r="V13" s="432"/>
      <c r="W13" s="432"/>
      <c r="X13" s="432"/>
    </row>
    <row r="14" spans="2:28" x14ac:dyDescent="0.25">
      <c r="B14" s="1544"/>
      <c r="C14" s="707" t="s">
        <v>940</v>
      </c>
      <c r="D14" s="708" t="s">
        <v>120</v>
      </c>
      <c r="G14" s="126"/>
      <c r="S14" s="432"/>
      <c r="T14" s="432"/>
      <c r="U14" s="432"/>
      <c r="V14" s="432"/>
      <c r="W14" s="432"/>
      <c r="X14" s="432"/>
    </row>
    <row r="15" spans="2:28" x14ac:dyDescent="0.25">
      <c r="B15" s="1544"/>
      <c r="C15" s="702" t="s">
        <v>242</v>
      </c>
      <c r="D15" s="709" t="s">
        <v>244</v>
      </c>
      <c r="H15" s="710"/>
      <c r="S15" s="432"/>
      <c r="T15" s="432"/>
      <c r="U15" s="432"/>
      <c r="V15" s="432"/>
      <c r="W15" s="432"/>
      <c r="X15" s="432"/>
    </row>
    <row r="16" spans="2:28" ht="15.75" thickBot="1" x14ac:dyDescent="0.3">
      <c r="B16" s="1544"/>
      <c r="C16" s="702" t="s">
        <v>243</v>
      </c>
      <c r="D16" s="711" t="s">
        <v>125</v>
      </c>
      <c r="H16" s="710"/>
      <c r="S16" s="432"/>
      <c r="T16" s="432"/>
      <c r="U16" s="432"/>
      <c r="V16" s="432"/>
      <c r="W16" s="432"/>
      <c r="X16" s="432"/>
    </row>
    <row r="17" spans="2:89" x14ac:dyDescent="0.25">
      <c r="B17" s="1544"/>
      <c r="C17" s="702" t="s">
        <v>245</v>
      </c>
      <c r="H17" s="710"/>
      <c r="S17" s="432"/>
      <c r="T17" s="432"/>
      <c r="U17" s="432"/>
      <c r="V17" s="432"/>
      <c r="W17" s="432"/>
      <c r="X17" s="432"/>
    </row>
    <row r="18" spans="2:89" x14ac:dyDescent="0.25">
      <c r="B18" s="1544"/>
      <c r="C18" s="702" t="s">
        <v>246</v>
      </c>
      <c r="D18" s="488"/>
      <c r="S18" s="432"/>
      <c r="T18" s="432"/>
      <c r="U18" s="432"/>
      <c r="V18" s="432"/>
      <c r="W18" s="432"/>
      <c r="X18" s="432"/>
    </row>
    <row r="19" spans="2:89" x14ac:dyDescent="0.25">
      <c r="B19" s="1544"/>
      <c r="C19" s="702" t="s">
        <v>247</v>
      </c>
      <c r="D19" s="488"/>
      <c r="S19" s="432"/>
      <c r="T19" s="432"/>
      <c r="U19" s="432"/>
      <c r="V19" s="432"/>
      <c r="W19" s="432"/>
      <c r="X19" s="432"/>
    </row>
    <row r="20" spans="2:89" x14ac:dyDescent="0.25">
      <c r="B20" s="1544"/>
      <c r="C20" s="702" t="s">
        <v>248</v>
      </c>
      <c r="D20" s="488"/>
      <c r="J20" s="488"/>
      <c r="L20" s="26"/>
      <c r="O20" s="432"/>
      <c r="P20" s="432"/>
      <c r="Q20" s="432"/>
      <c r="R20" s="432"/>
      <c r="S20" s="432"/>
      <c r="T20" s="432"/>
      <c r="U20" s="432"/>
      <c r="V20" s="432"/>
      <c r="W20" s="432"/>
      <c r="X20" s="432"/>
    </row>
    <row r="21" spans="2:89" x14ac:dyDescent="0.25">
      <c r="B21" s="1544"/>
      <c r="C21" s="702" t="s">
        <v>249</v>
      </c>
      <c r="D21" s="488"/>
      <c r="H21" s="585"/>
      <c r="J21" s="488"/>
      <c r="L21" s="26"/>
      <c r="O21" s="432"/>
      <c r="P21" s="432"/>
      <c r="Q21" s="432"/>
      <c r="R21" s="432"/>
      <c r="S21" s="432"/>
      <c r="T21" s="432"/>
      <c r="U21" s="432"/>
      <c r="V21" s="432"/>
      <c r="W21" s="432"/>
      <c r="X21" s="432"/>
    </row>
    <row r="22" spans="2:89" x14ac:dyDescent="0.25">
      <c r="B22" s="1544"/>
      <c r="C22" s="702" t="s">
        <v>250</v>
      </c>
      <c r="D22" s="488"/>
      <c r="H22" s="585"/>
      <c r="J22" s="488"/>
      <c r="L22" s="26"/>
      <c r="O22" s="432"/>
      <c r="P22" s="432"/>
      <c r="Q22" s="432"/>
      <c r="R22" s="432"/>
      <c r="S22" s="432"/>
      <c r="T22" s="432"/>
      <c r="U22" s="432"/>
      <c r="V22" s="432"/>
      <c r="W22" s="432"/>
    </row>
    <row r="23" spans="2:89" x14ac:dyDescent="0.25">
      <c r="B23" s="1544"/>
      <c r="C23" s="702" t="s">
        <v>251</v>
      </c>
      <c r="D23" s="488"/>
      <c r="H23" s="585"/>
      <c r="J23" s="488"/>
      <c r="L23" s="26"/>
      <c r="O23" s="432"/>
      <c r="P23" s="432"/>
      <c r="Q23" s="432"/>
      <c r="R23" s="432"/>
      <c r="S23" s="432"/>
      <c r="T23" s="432"/>
      <c r="U23" s="432"/>
      <c r="V23" s="432"/>
      <c r="W23" s="432"/>
    </row>
    <row r="24" spans="2:89" x14ac:dyDescent="0.25">
      <c r="B24" s="1544"/>
      <c r="C24" s="702" t="s">
        <v>252</v>
      </c>
      <c r="D24" s="488"/>
      <c r="H24" s="585"/>
      <c r="J24" s="488"/>
      <c r="L24" s="26"/>
      <c r="O24" s="432"/>
      <c r="P24" s="432"/>
      <c r="Q24" s="432"/>
      <c r="R24" s="432"/>
      <c r="S24" s="432"/>
      <c r="T24" s="432"/>
      <c r="U24" s="432"/>
      <c r="V24" s="432"/>
      <c r="W24" s="432"/>
    </row>
    <row r="25" spans="2:89" x14ac:dyDescent="0.25">
      <c r="B25" s="1544"/>
      <c r="C25" s="702" t="s">
        <v>253</v>
      </c>
      <c r="D25" s="488"/>
      <c r="G25" s="126"/>
      <c r="H25" s="585"/>
      <c r="J25" s="488"/>
      <c r="L25" s="26"/>
      <c r="O25" s="432"/>
      <c r="P25" s="432"/>
      <c r="Q25" s="432"/>
      <c r="R25" s="432"/>
      <c r="S25" s="432"/>
      <c r="T25" s="432"/>
      <c r="U25" s="432"/>
      <c r="V25" s="432"/>
      <c r="W25" s="432"/>
    </row>
    <row r="26" spans="2:89" x14ac:dyDescent="0.25">
      <c r="B26" s="1544"/>
      <c r="C26" s="702" t="s">
        <v>254</v>
      </c>
      <c r="D26" s="488"/>
      <c r="G26" s="126"/>
      <c r="H26" s="585"/>
      <c r="J26" s="488"/>
      <c r="L26" s="26"/>
      <c r="O26" s="432"/>
      <c r="P26" s="432"/>
      <c r="Q26" s="432"/>
      <c r="R26" s="432"/>
      <c r="S26" s="432"/>
      <c r="T26" s="432"/>
      <c r="U26" s="432"/>
      <c r="V26" s="432"/>
      <c r="W26" s="432"/>
    </row>
    <row r="27" spans="2:89" ht="15.75" thickBot="1" x14ac:dyDescent="0.3">
      <c r="B27" s="1544"/>
      <c r="C27" s="712" t="s">
        <v>255</v>
      </c>
      <c r="D27" s="488"/>
      <c r="G27" s="126"/>
      <c r="H27" s="585"/>
      <c r="J27" s="488"/>
      <c r="L27" s="26"/>
      <c r="O27" s="432"/>
      <c r="P27" s="432"/>
      <c r="Q27" s="432"/>
      <c r="R27" s="432"/>
      <c r="S27" s="432"/>
      <c r="T27" s="432"/>
      <c r="U27" s="432"/>
      <c r="V27" s="432"/>
      <c r="W27" s="432"/>
    </row>
    <row r="28" spans="2:89" ht="15" customHeight="1" x14ac:dyDescent="0.45">
      <c r="B28" s="713"/>
      <c r="G28" s="126"/>
      <c r="H28" s="585"/>
      <c r="I28" s="127"/>
      <c r="J28" s="488"/>
      <c r="K28" s="127"/>
      <c r="L28" s="26"/>
      <c r="O28" s="432"/>
      <c r="P28" s="432"/>
      <c r="Q28" s="432"/>
      <c r="R28" s="432"/>
      <c r="S28" s="432"/>
      <c r="T28" s="432"/>
      <c r="U28" s="432"/>
      <c r="V28" s="432"/>
      <c r="W28" s="432"/>
    </row>
    <row r="29" spans="2:89" ht="28.5" x14ac:dyDescent="0.45">
      <c r="B29" s="713"/>
    </row>
    <row r="30" spans="2:89" ht="29.25" thickBot="1" x14ac:dyDescent="0.5">
      <c r="B30" s="713"/>
      <c r="D30" s="488"/>
      <c r="G30" s="126"/>
      <c r="K30" s="714" t="s">
        <v>941</v>
      </c>
      <c r="M30" s="26"/>
      <c r="N30" s="521" t="s">
        <v>942</v>
      </c>
      <c r="P30" s="432"/>
      <c r="Q30" s="432"/>
      <c r="R30" s="432"/>
      <c r="S30" s="432"/>
      <c r="T30" s="432"/>
      <c r="U30" s="432"/>
      <c r="V30" s="432"/>
      <c r="W30" s="432"/>
      <c r="X30" s="432"/>
    </row>
    <row r="31" spans="2:89" ht="30.75" customHeight="1" thickBot="1" x14ac:dyDescent="0.3">
      <c r="B31" s="1545" t="s">
        <v>943</v>
      </c>
      <c r="C31" s="715" t="s">
        <v>944</v>
      </c>
      <c r="D31" s="716" t="s">
        <v>945</v>
      </c>
      <c r="E31" s="715" t="s">
        <v>946</v>
      </c>
      <c r="F31" s="716" t="s">
        <v>947</v>
      </c>
      <c r="G31" s="715" t="s">
        <v>948</v>
      </c>
      <c r="H31" s="717" t="s">
        <v>259</v>
      </c>
      <c r="I31" s="89" t="s">
        <v>258</v>
      </c>
      <c r="J31" s="718" t="s">
        <v>257</v>
      </c>
      <c r="K31" s="719" t="s">
        <v>256</v>
      </c>
      <c r="L31" s="720"/>
      <c r="N31" s="89" t="s">
        <v>777</v>
      </c>
      <c r="R31" s="432"/>
      <c r="S31" s="432"/>
      <c r="T31" s="432"/>
      <c r="U31" s="432"/>
      <c r="V31" s="432"/>
      <c r="W31" s="432"/>
    </row>
    <row r="32" spans="2:89" ht="15" customHeight="1" x14ac:dyDescent="0.25">
      <c r="B32" s="1545"/>
      <c r="C32" s="721" t="s">
        <v>949</v>
      </c>
      <c r="D32" s="722" t="s">
        <v>263</v>
      </c>
      <c r="E32" s="723" t="s">
        <v>950</v>
      </c>
      <c r="F32" s="724" t="s">
        <v>179</v>
      </c>
      <c r="G32" s="725" t="s">
        <v>950</v>
      </c>
      <c r="H32" s="726" t="s">
        <v>262</v>
      </c>
      <c r="I32" s="727" t="s">
        <v>260</v>
      </c>
      <c r="J32" s="728" t="s">
        <v>261</v>
      </c>
      <c r="K32" s="1546" t="s">
        <v>260</v>
      </c>
      <c r="L32" s="729" t="s">
        <v>261</v>
      </c>
      <c r="N32" s="730" t="s">
        <v>712</v>
      </c>
      <c r="R32" s="432"/>
      <c r="S32" s="432"/>
      <c r="T32" s="432"/>
      <c r="U32" s="432"/>
      <c r="V32" s="432"/>
      <c r="W32" s="432"/>
      <c r="AK32" s="1539"/>
      <c r="AL32" s="1539"/>
      <c r="AM32" s="1539"/>
      <c r="AN32" s="1539"/>
      <c r="AO32" s="1539"/>
      <c r="AP32" s="1539"/>
      <c r="AQ32" s="1539"/>
      <c r="AR32" s="1539"/>
      <c r="AS32" s="1539"/>
      <c r="AT32" s="1539"/>
      <c r="AU32" s="1539"/>
      <c r="AV32" s="1539"/>
      <c r="AW32" s="1539"/>
      <c r="AX32" s="1539"/>
      <c r="AY32" s="1539"/>
      <c r="AZ32" s="1539"/>
      <c r="BA32" s="1539"/>
      <c r="BB32" s="1539"/>
      <c r="BC32" s="1539"/>
      <c r="BD32" s="1539"/>
      <c r="BE32" s="1539"/>
      <c r="BF32" s="1539"/>
      <c r="BP32" s="1539"/>
      <c r="BQ32" s="1539"/>
      <c r="BR32" s="1539"/>
      <c r="BS32" s="1539"/>
      <c r="BT32" s="1539"/>
      <c r="BU32" s="1539"/>
      <c r="BV32" s="1539"/>
      <c r="BW32" s="1539"/>
      <c r="BX32" s="1539"/>
      <c r="BY32" s="1539"/>
      <c r="BZ32" s="1539"/>
      <c r="CA32" s="1539"/>
      <c r="CB32" s="1539"/>
      <c r="CC32" s="1539"/>
      <c r="CD32" s="1539"/>
      <c r="CE32" s="1539"/>
      <c r="CF32" s="1539"/>
      <c r="CG32" s="1539"/>
      <c r="CH32" s="1539"/>
      <c r="CI32" s="1539"/>
      <c r="CJ32" s="1539"/>
      <c r="CK32" s="1539"/>
    </row>
    <row r="33" spans="2:89" ht="15" customHeight="1" x14ac:dyDescent="0.25">
      <c r="B33" s="1545"/>
      <c r="C33" s="731" t="s">
        <v>279</v>
      </c>
      <c r="D33" s="732" t="s">
        <v>951</v>
      </c>
      <c r="E33" s="733" t="s">
        <v>952</v>
      </c>
      <c r="F33" s="733" t="s">
        <v>190</v>
      </c>
      <c r="G33" s="734" t="s">
        <v>952</v>
      </c>
      <c r="H33" s="735" t="s">
        <v>266</v>
      </c>
      <c r="I33" s="736" t="s">
        <v>265</v>
      </c>
      <c r="J33" s="737" t="s">
        <v>264</v>
      </c>
      <c r="K33" s="1547"/>
      <c r="L33" s="738" t="s">
        <v>264</v>
      </c>
      <c r="N33" s="739" t="s">
        <v>713</v>
      </c>
      <c r="R33" s="432"/>
      <c r="S33" s="432"/>
      <c r="T33" s="432"/>
      <c r="U33" s="432"/>
      <c r="V33" s="432"/>
      <c r="W33" s="432"/>
      <c r="AK33" s="1539"/>
      <c r="AL33" s="1539"/>
      <c r="AM33" s="1539"/>
      <c r="AN33" s="1539"/>
      <c r="AO33" s="1539"/>
      <c r="AP33" s="1539"/>
      <c r="AQ33" s="1539"/>
      <c r="AR33" s="1539"/>
      <c r="AS33" s="1539"/>
      <c r="AT33" s="1539"/>
      <c r="AU33" s="1539"/>
      <c r="AV33" s="1539"/>
      <c r="AW33" s="1539"/>
      <c r="AX33" s="1539"/>
      <c r="AY33" s="1539"/>
      <c r="AZ33" s="1539"/>
      <c r="BA33" s="1539"/>
      <c r="BB33" s="1539"/>
      <c r="BC33" s="1539"/>
      <c r="BD33" s="1539"/>
      <c r="BE33" s="1539"/>
      <c r="BF33" s="1539"/>
      <c r="BP33" s="1539"/>
      <c r="BQ33" s="1539"/>
      <c r="BR33" s="1539"/>
      <c r="BS33" s="1539"/>
      <c r="BT33" s="1539"/>
      <c r="BU33" s="1539"/>
      <c r="BV33" s="1539"/>
      <c r="BW33" s="1539"/>
      <c r="BX33" s="1539"/>
      <c r="BY33" s="1539"/>
      <c r="BZ33" s="1539"/>
      <c r="CA33" s="1539"/>
      <c r="CB33" s="1539"/>
      <c r="CC33" s="1539"/>
      <c r="CD33" s="1539"/>
      <c r="CE33" s="1539"/>
      <c r="CF33" s="1539"/>
      <c r="CG33" s="1539"/>
      <c r="CH33" s="1539"/>
      <c r="CI33" s="1539"/>
      <c r="CJ33" s="1539"/>
      <c r="CK33" s="1539"/>
    </row>
    <row r="34" spans="2:89" ht="15.75" customHeight="1" x14ac:dyDescent="0.25">
      <c r="B34" s="1545"/>
      <c r="C34" s="731" t="s">
        <v>953</v>
      </c>
      <c r="D34" s="732" t="s">
        <v>954</v>
      </c>
      <c r="E34" s="740" t="s">
        <v>955</v>
      </c>
      <c r="F34" s="733" t="s">
        <v>196</v>
      </c>
      <c r="G34" s="741" t="s">
        <v>955</v>
      </c>
      <c r="H34" s="735" t="s">
        <v>268</v>
      </c>
      <c r="I34" s="736" t="s">
        <v>223</v>
      </c>
      <c r="J34" s="742" t="s">
        <v>223</v>
      </c>
      <c r="K34" s="1548"/>
      <c r="L34" s="743" t="s">
        <v>223</v>
      </c>
      <c r="N34" s="739" t="s">
        <v>714</v>
      </c>
      <c r="R34" s="432"/>
      <c r="S34" s="432"/>
      <c r="T34" s="432"/>
      <c r="U34" s="432"/>
      <c r="V34" s="432"/>
      <c r="W34" s="432"/>
      <c r="AK34" s="1539"/>
      <c r="AL34" s="1539"/>
      <c r="AM34" s="1539"/>
      <c r="AN34" s="1539"/>
      <c r="AO34" s="1539"/>
      <c r="AP34" s="1539"/>
      <c r="AQ34" s="1539"/>
      <c r="AR34" s="1539"/>
      <c r="AS34" s="1539"/>
      <c r="AT34" s="1539"/>
      <c r="AU34" s="1539"/>
      <c r="AV34" s="1539"/>
      <c r="AW34" s="1539"/>
      <c r="AX34" s="1539"/>
      <c r="AY34" s="1539"/>
      <c r="AZ34" s="1539"/>
      <c r="BA34" s="1539"/>
      <c r="BB34" s="1539"/>
      <c r="BC34" s="1539"/>
      <c r="BD34" s="1539"/>
      <c r="BE34" s="1539"/>
      <c r="BF34" s="1539"/>
      <c r="BP34" s="1539"/>
      <c r="BQ34" s="1539"/>
      <c r="BR34" s="1539"/>
      <c r="BS34" s="1539"/>
      <c r="BT34" s="1539"/>
      <c r="BU34" s="1539"/>
      <c r="BV34" s="1539"/>
      <c r="BW34" s="1539"/>
      <c r="BX34" s="1539"/>
      <c r="BY34" s="1539"/>
      <c r="BZ34" s="1539"/>
      <c r="CA34" s="1539"/>
      <c r="CB34" s="1539"/>
      <c r="CC34" s="1539"/>
      <c r="CD34" s="1539"/>
      <c r="CE34" s="1539"/>
      <c r="CF34" s="1539"/>
      <c r="CG34" s="1539"/>
      <c r="CH34" s="1539"/>
      <c r="CI34" s="1539"/>
      <c r="CJ34" s="1539"/>
      <c r="CK34" s="1539"/>
    </row>
    <row r="35" spans="2:89" ht="15.75" customHeight="1" x14ac:dyDescent="0.25">
      <c r="B35" s="1545"/>
      <c r="C35" s="731" t="s">
        <v>223</v>
      </c>
      <c r="D35" s="732" t="s">
        <v>223</v>
      </c>
      <c r="E35" s="740" t="s">
        <v>956</v>
      </c>
      <c r="F35" s="733" t="s">
        <v>203</v>
      </c>
      <c r="G35" s="741" t="s">
        <v>956</v>
      </c>
      <c r="H35" s="735" t="s">
        <v>272</v>
      </c>
      <c r="I35" s="736" t="s">
        <v>271</v>
      </c>
      <c r="J35" s="744" t="s">
        <v>270</v>
      </c>
      <c r="K35" s="1549" t="s">
        <v>265</v>
      </c>
      <c r="L35" s="745" t="s">
        <v>270</v>
      </c>
      <c r="N35" s="739" t="s">
        <v>715</v>
      </c>
      <c r="R35" s="432"/>
      <c r="S35" s="432"/>
      <c r="T35" s="432"/>
      <c r="U35" s="432"/>
      <c r="V35" s="432"/>
      <c r="W35" s="432"/>
    </row>
    <row r="36" spans="2:89" ht="15" customHeight="1" x14ac:dyDescent="0.25">
      <c r="B36" s="1545"/>
      <c r="C36" s="746"/>
      <c r="D36" s="79"/>
      <c r="E36" s="740" t="s">
        <v>957</v>
      </c>
      <c r="F36" s="733" t="s">
        <v>206</v>
      </c>
      <c r="G36" s="741" t="s">
        <v>958</v>
      </c>
      <c r="H36" s="735" t="s">
        <v>275</v>
      </c>
      <c r="I36" s="736" t="s">
        <v>274</v>
      </c>
      <c r="J36" s="747" t="s">
        <v>273</v>
      </c>
      <c r="K36" s="1547"/>
      <c r="L36" s="738" t="s">
        <v>273</v>
      </c>
      <c r="N36" s="739" t="s">
        <v>716</v>
      </c>
      <c r="R36" s="432"/>
      <c r="S36" s="432"/>
      <c r="T36" s="432"/>
      <c r="U36" s="432"/>
      <c r="V36" s="432"/>
      <c r="W36" s="432"/>
    </row>
    <row r="37" spans="2:89" ht="15" customHeight="1" x14ac:dyDescent="0.25">
      <c r="B37" s="1545"/>
      <c r="C37" s="746"/>
      <c r="D37" s="79"/>
      <c r="E37" s="740" t="s">
        <v>959</v>
      </c>
      <c r="F37" s="733" t="s">
        <v>213</v>
      </c>
      <c r="G37" s="741" t="s">
        <v>957</v>
      </c>
      <c r="H37" s="735" t="s">
        <v>278</v>
      </c>
      <c r="I37" s="736" t="s">
        <v>277</v>
      </c>
      <c r="J37" s="747" t="s">
        <v>276</v>
      </c>
      <c r="K37" s="1547"/>
      <c r="L37" s="738" t="s">
        <v>276</v>
      </c>
      <c r="N37" s="739" t="s">
        <v>717</v>
      </c>
      <c r="U37" s="432"/>
      <c r="V37" s="432"/>
      <c r="W37" s="432"/>
    </row>
    <row r="38" spans="2:89" ht="15" customHeight="1" x14ac:dyDescent="0.25">
      <c r="B38" s="1545"/>
      <c r="C38" s="746"/>
      <c r="D38" s="79"/>
      <c r="E38" s="740" t="s">
        <v>960</v>
      </c>
      <c r="F38" s="733" t="s">
        <v>220</v>
      </c>
      <c r="G38" s="741" t="s">
        <v>959</v>
      </c>
      <c r="H38" s="735" t="s">
        <v>281</v>
      </c>
      <c r="I38" s="736" t="s">
        <v>280</v>
      </c>
      <c r="J38" s="747" t="s">
        <v>279</v>
      </c>
      <c r="K38" s="1547"/>
      <c r="L38" s="738" t="s">
        <v>279</v>
      </c>
      <c r="N38" s="739" t="s">
        <v>718</v>
      </c>
      <c r="R38" s="432"/>
      <c r="S38" s="432"/>
      <c r="T38" s="432"/>
      <c r="U38" s="432"/>
      <c r="V38" s="432"/>
      <c r="W38" s="432"/>
    </row>
    <row r="39" spans="2:89" ht="15.75" customHeight="1" x14ac:dyDescent="0.25">
      <c r="B39" s="1545"/>
      <c r="C39" s="746"/>
      <c r="D39" s="79"/>
      <c r="E39" s="748"/>
      <c r="F39" s="733" t="s">
        <v>285</v>
      </c>
      <c r="G39" s="741" t="s">
        <v>960</v>
      </c>
      <c r="H39" s="735" t="s">
        <v>284</v>
      </c>
      <c r="I39" s="736" t="s">
        <v>283</v>
      </c>
      <c r="J39" s="749" t="s">
        <v>282</v>
      </c>
      <c r="K39" s="1548"/>
      <c r="L39" s="743" t="s">
        <v>282</v>
      </c>
      <c r="N39" s="739" t="s">
        <v>719</v>
      </c>
      <c r="R39" s="432"/>
      <c r="S39" s="432"/>
      <c r="T39" s="432"/>
      <c r="U39" s="432"/>
      <c r="V39" s="432"/>
      <c r="W39" s="432"/>
    </row>
    <row r="40" spans="2:89" ht="15" customHeight="1" x14ac:dyDescent="0.25">
      <c r="B40" s="1545"/>
      <c r="C40" s="746"/>
      <c r="D40" s="79"/>
      <c r="E40" s="748"/>
      <c r="F40" s="733" t="s">
        <v>288</v>
      </c>
      <c r="G40" s="750"/>
      <c r="H40" s="735" t="s">
        <v>287</v>
      </c>
      <c r="I40" s="736" t="s">
        <v>272</v>
      </c>
      <c r="J40" s="751" t="s">
        <v>286</v>
      </c>
      <c r="K40" s="752" t="s">
        <v>223</v>
      </c>
      <c r="L40" s="753" t="s">
        <v>286</v>
      </c>
      <c r="N40" s="739" t="s">
        <v>720</v>
      </c>
      <c r="R40" s="432"/>
      <c r="S40" s="432"/>
      <c r="T40" s="432"/>
      <c r="U40" s="432"/>
      <c r="V40" s="432"/>
      <c r="W40" s="432"/>
    </row>
    <row r="41" spans="2:89" ht="15.75" customHeight="1" x14ac:dyDescent="0.25">
      <c r="B41" s="1545"/>
      <c r="C41" s="746"/>
      <c r="D41" s="754"/>
      <c r="E41" s="748"/>
      <c r="F41" s="733" t="s">
        <v>289</v>
      </c>
      <c r="G41" s="750"/>
      <c r="H41" s="735" t="s">
        <v>223</v>
      </c>
      <c r="I41" s="736" t="s">
        <v>262</v>
      </c>
      <c r="J41" s="755" t="s">
        <v>292</v>
      </c>
      <c r="K41" s="756" t="s">
        <v>271</v>
      </c>
      <c r="L41" s="757"/>
      <c r="N41" s="739" t="s">
        <v>721</v>
      </c>
      <c r="R41" s="432"/>
      <c r="S41" s="432"/>
      <c r="T41" s="432"/>
      <c r="U41" s="432"/>
      <c r="V41" s="432"/>
      <c r="W41" s="432"/>
    </row>
    <row r="42" spans="2:89" ht="15.75" customHeight="1" thickBot="1" x14ac:dyDescent="0.3">
      <c r="B42" s="1545"/>
      <c r="C42" s="746"/>
      <c r="D42" s="754"/>
      <c r="E42" s="748"/>
      <c r="F42" s="733" t="s">
        <v>291</v>
      </c>
      <c r="G42" s="750"/>
      <c r="H42" s="746"/>
      <c r="I42" s="736" t="s">
        <v>290</v>
      </c>
      <c r="J42" s="737" t="s">
        <v>295</v>
      </c>
      <c r="K42" s="756" t="s">
        <v>274</v>
      </c>
      <c r="L42" s="757"/>
      <c r="N42" s="739" t="s">
        <v>223</v>
      </c>
      <c r="R42" s="432"/>
      <c r="S42" s="432"/>
      <c r="T42" s="432"/>
      <c r="U42" s="432"/>
      <c r="V42" s="432"/>
      <c r="W42" s="432"/>
    </row>
    <row r="43" spans="2:89" ht="15" customHeight="1" x14ac:dyDescent="0.25">
      <c r="B43" s="1545"/>
      <c r="C43" s="746"/>
      <c r="D43" s="754"/>
      <c r="E43" s="748"/>
      <c r="F43" s="733" t="s">
        <v>294</v>
      </c>
      <c r="G43" s="750"/>
      <c r="H43" s="746"/>
      <c r="I43" s="736" t="s">
        <v>293</v>
      </c>
      <c r="J43" s="758" t="s">
        <v>297</v>
      </c>
      <c r="K43" s="1549" t="s">
        <v>277</v>
      </c>
      <c r="L43" s="759" t="s">
        <v>292</v>
      </c>
      <c r="N43" s="79"/>
      <c r="R43" s="432"/>
      <c r="S43" s="432"/>
      <c r="T43" s="432"/>
      <c r="U43" s="432"/>
      <c r="V43" s="432"/>
      <c r="W43" s="432"/>
    </row>
    <row r="44" spans="2:89" ht="15.75" customHeight="1" x14ac:dyDescent="0.25">
      <c r="B44" s="1545"/>
      <c r="C44" s="746"/>
      <c r="D44" s="754"/>
      <c r="E44" s="748"/>
      <c r="F44" s="733" t="s">
        <v>223</v>
      </c>
      <c r="G44" s="750"/>
      <c r="H44" s="746"/>
      <c r="I44" s="736" t="s">
        <v>296</v>
      </c>
      <c r="J44" s="747" t="s">
        <v>223</v>
      </c>
      <c r="K44" s="1548"/>
      <c r="L44" s="760" t="s">
        <v>295</v>
      </c>
      <c r="N44" s="79"/>
      <c r="R44" s="432"/>
      <c r="S44" s="432"/>
      <c r="T44" s="432"/>
      <c r="U44" s="432"/>
      <c r="V44" s="432"/>
      <c r="W44" s="432"/>
    </row>
    <row r="45" spans="2:89" x14ac:dyDescent="0.25">
      <c r="B45" s="1545"/>
      <c r="C45" s="746"/>
      <c r="D45" s="79"/>
      <c r="E45" s="79"/>
      <c r="F45" s="79"/>
      <c r="G45" s="750"/>
      <c r="H45" s="746"/>
      <c r="I45" s="736" t="s">
        <v>298</v>
      </c>
      <c r="J45" s="747" t="s">
        <v>300</v>
      </c>
      <c r="K45" s="761" t="s">
        <v>280</v>
      </c>
      <c r="L45" s="762" t="s">
        <v>297</v>
      </c>
      <c r="N45" s="79"/>
    </row>
    <row r="46" spans="2:89" x14ac:dyDescent="0.25">
      <c r="B46" s="1545"/>
      <c r="C46" s="746"/>
      <c r="D46" s="79"/>
      <c r="E46" s="79"/>
      <c r="F46" s="79"/>
      <c r="G46" s="750"/>
      <c r="H46" s="746"/>
      <c r="I46" s="736" t="s">
        <v>299</v>
      </c>
      <c r="J46" s="747" t="s">
        <v>302</v>
      </c>
      <c r="K46" s="761"/>
      <c r="L46" s="763" t="s">
        <v>223</v>
      </c>
      <c r="N46" s="79"/>
    </row>
    <row r="47" spans="2:89" x14ac:dyDescent="0.25">
      <c r="B47" s="1545"/>
      <c r="C47" s="746"/>
      <c r="D47" s="79"/>
      <c r="E47" s="79"/>
      <c r="F47" s="79"/>
      <c r="G47" s="750"/>
      <c r="H47" s="746"/>
      <c r="I47" s="736" t="s">
        <v>301</v>
      </c>
      <c r="J47" s="737" t="s">
        <v>303</v>
      </c>
      <c r="K47" s="761"/>
      <c r="L47" s="763" t="s">
        <v>300</v>
      </c>
      <c r="N47" s="79"/>
    </row>
    <row r="48" spans="2:89" x14ac:dyDescent="0.25">
      <c r="B48" s="1545"/>
      <c r="C48" s="746"/>
      <c r="D48" s="79"/>
      <c r="E48" s="79"/>
      <c r="F48" s="79"/>
      <c r="G48" s="750"/>
      <c r="H48" s="746"/>
      <c r="I48" s="79"/>
      <c r="J48" s="751" t="s">
        <v>283</v>
      </c>
      <c r="K48" s="761"/>
      <c r="L48" s="763" t="s">
        <v>302</v>
      </c>
      <c r="N48" s="79"/>
    </row>
    <row r="49" spans="2:23" x14ac:dyDescent="0.25">
      <c r="B49" s="1545"/>
      <c r="C49" s="746"/>
      <c r="D49" s="79"/>
      <c r="E49" s="79"/>
      <c r="F49" s="79"/>
      <c r="G49" s="750"/>
      <c r="H49" s="746"/>
      <c r="I49" s="79"/>
      <c r="J49" s="755" t="s">
        <v>304</v>
      </c>
      <c r="K49" s="752"/>
      <c r="L49" s="760" t="s">
        <v>303</v>
      </c>
      <c r="N49" s="79"/>
    </row>
    <row r="50" spans="2:23" x14ac:dyDescent="0.25">
      <c r="B50" s="1545"/>
      <c r="C50" s="746"/>
      <c r="D50" s="79"/>
      <c r="E50" s="79"/>
      <c r="F50" s="79"/>
      <c r="G50" s="750"/>
      <c r="H50" s="746"/>
      <c r="I50" s="79"/>
      <c r="J50" s="747" t="s">
        <v>305</v>
      </c>
      <c r="K50" s="752" t="s">
        <v>283</v>
      </c>
      <c r="L50" s="764" t="s">
        <v>283</v>
      </c>
      <c r="N50" s="79"/>
    </row>
    <row r="51" spans="2:23" x14ac:dyDescent="0.25">
      <c r="B51" s="1545"/>
      <c r="C51" s="746"/>
      <c r="D51" s="79"/>
      <c r="E51" s="79"/>
      <c r="F51" s="79"/>
      <c r="G51" s="750"/>
      <c r="H51" s="746"/>
      <c r="I51" s="765"/>
      <c r="J51" s="747" t="s">
        <v>306</v>
      </c>
      <c r="K51" s="766" t="s">
        <v>272</v>
      </c>
      <c r="L51" s="767" t="s">
        <v>304</v>
      </c>
      <c r="N51" s="765"/>
      <c r="Q51" s="432"/>
      <c r="R51" s="432"/>
      <c r="S51" s="432"/>
      <c r="T51" s="432"/>
      <c r="U51" s="432"/>
      <c r="V51" s="432"/>
    </row>
    <row r="52" spans="2:23" x14ac:dyDescent="0.25">
      <c r="B52" s="1545"/>
      <c r="C52" s="746"/>
      <c r="D52" s="79"/>
      <c r="E52" s="79"/>
      <c r="F52" s="79"/>
      <c r="G52" s="750"/>
      <c r="H52" s="746"/>
      <c r="I52" s="765"/>
      <c r="J52" s="747" t="s">
        <v>307</v>
      </c>
      <c r="K52" s="766"/>
      <c r="L52" s="763" t="s">
        <v>305</v>
      </c>
      <c r="N52" s="765"/>
      <c r="Q52" s="432"/>
      <c r="R52" s="432"/>
      <c r="S52" s="432"/>
      <c r="T52" s="432"/>
      <c r="U52" s="432"/>
      <c r="V52" s="432"/>
    </row>
    <row r="53" spans="2:23" x14ac:dyDescent="0.25">
      <c r="B53" s="1545"/>
      <c r="C53" s="746"/>
      <c r="D53" s="79"/>
      <c r="E53" s="79"/>
      <c r="F53" s="79"/>
      <c r="G53" s="750"/>
      <c r="H53" s="746"/>
      <c r="I53" s="765"/>
      <c r="J53" s="768"/>
      <c r="K53" s="766"/>
      <c r="L53" s="763" t="s">
        <v>306</v>
      </c>
      <c r="N53" s="765"/>
      <c r="Q53" s="432"/>
      <c r="R53" s="432"/>
      <c r="S53" s="432"/>
      <c r="T53" s="432"/>
      <c r="U53" s="432"/>
      <c r="V53" s="432"/>
    </row>
    <row r="54" spans="2:23" ht="15.75" thickBot="1" x14ac:dyDescent="0.3">
      <c r="B54" s="1545"/>
      <c r="C54" s="769"/>
      <c r="D54" s="82"/>
      <c r="E54" s="82"/>
      <c r="F54" s="82"/>
      <c r="G54" s="770"/>
      <c r="H54" s="769"/>
      <c r="I54" s="771"/>
      <c r="J54" s="772"/>
      <c r="K54" s="773"/>
      <c r="L54" s="760" t="s">
        <v>307</v>
      </c>
      <c r="N54" s="771"/>
      <c r="Q54" s="432"/>
      <c r="R54" s="432"/>
      <c r="S54" s="432"/>
      <c r="T54" s="432"/>
      <c r="U54" s="432"/>
      <c r="V54" s="432"/>
    </row>
    <row r="55" spans="2:23" x14ac:dyDescent="0.25">
      <c r="I55" s="432"/>
      <c r="K55" s="752" t="s">
        <v>262</v>
      </c>
      <c r="L55" s="757"/>
      <c r="Q55" s="432"/>
      <c r="R55" s="432"/>
      <c r="S55" s="432"/>
      <c r="T55" s="432"/>
      <c r="U55" s="432"/>
      <c r="V55" s="432"/>
    </row>
    <row r="56" spans="2:23" x14ac:dyDescent="0.25">
      <c r="I56" s="432"/>
      <c r="K56" s="774" t="s">
        <v>290</v>
      </c>
      <c r="L56" s="757"/>
      <c r="Q56" s="432"/>
      <c r="R56" s="432"/>
      <c r="S56" s="432"/>
      <c r="T56" s="432"/>
      <c r="U56" s="432"/>
      <c r="V56" s="432"/>
    </row>
    <row r="57" spans="2:23" ht="15.75" customHeight="1" x14ac:dyDescent="0.25">
      <c r="I57" s="432"/>
      <c r="K57" s="775" t="s">
        <v>293</v>
      </c>
      <c r="L57" s="757"/>
      <c r="Q57" s="432"/>
      <c r="R57" s="432"/>
      <c r="S57" s="432"/>
      <c r="T57" s="432"/>
      <c r="U57" s="432"/>
      <c r="V57" s="432"/>
    </row>
    <row r="58" spans="2:23" x14ac:dyDescent="0.25">
      <c r="I58" s="432"/>
      <c r="K58" s="775" t="s">
        <v>296</v>
      </c>
      <c r="L58" s="757"/>
      <c r="Q58" s="432"/>
      <c r="R58" s="432"/>
      <c r="S58" s="432"/>
      <c r="T58" s="432"/>
      <c r="U58" s="432"/>
      <c r="V58" s="432"/>
    </row>
    <row r="59" spans="2:23" x14ac:dyDescent="0.25">
      <c r="I59" s="432"/>
      <c r="K59" s="775" t="s">
        <v>298</v>
      </c>
      <c r="L59" s="757"/>
      <c r="Q59" s="432"/>
      <c r="R59" s="432"/>
      <c r="S59" s="432"/>
      <c r="T59" s="432"/>
      <c r="U59" s="432"/>
      <c r="V59" s="432"/>
    </row>
    <row r="60" spans="2:23" x14ac:dyDescent="0.25">
      <c r="I60" s="432"/>
      <c r="K60" s="775" t="s">
        <v>299</v>
      </c>
      <c r="L60" s="757"/>
      <c r="Q60" s="432"/>
      <c r="R60" s="432"/>
      <c r="S60" s="432"/>
      <c r="T60" s="432"/>
      <c r="U60" s="432"/>
      <c r="V60" s="432"/>
    </row>
    <row r="61" spans="2:23" ht="15.75" thickBot="1" x14ac:dyDescent="0.3">
      <c r="I61" s="432"/>
      <c r="K61" s="776" t="s">
        <v>301</v>
      </c>
      <c r="L61" s="777"/>
      <c r="Q61" s="432"/>
      <c r="R61" s="432"/>
      <c r="S61" s="432"/>
      <c r="T61" s="432"/>
      <c r="U61" s="432"/>
      <c r="V61" s="432"/>
    </row>
    <row r="62" spans="2:23" x14ac:dyDescent="0.25">
      <c r="I62" s="432"/>
      <c r="J62" s="432"/>
      <c r="K62" s="432"/>
      <c r="R62" s="432"/>
      <c r="S62" s="432"/>
      <c r="T62" s="432"/>
      <c r="U62" s="432"/>
      <c r="V62" s="432"/>
      <c r="W62" s="432"/>
    </row>
    <row r="63" spans="2:23" ht="29.25" thickBot="1" x14ac:dyDescent="0.5">
      <c r="B63" s="713"/>
      <c r="K63" s="488"/>
      <c r="L63" s="26"/>
      <c r="O63" s="432"/>
      <c r="P63" s="432"/>
      <c r="Q63" s="432"/>
      <c r="R63" s="432"/>
      <c r="S63" s="432"/>
      <c r="T63" s="432"/>
      <c r="U63" s="432"/>
      <c r="V63" s="432"/>
      <c r="W63" s="432"/>
    </row>
    <row r="64" spans="2:23" ht="30.75" thickBot="1" x14ac:dyDescent="0.3">
      <c r="B64" s="1550" t="s">
        <v>961</v>
      </c>
      <c r="C64" s="715" t="s">
        <v>962</v>
      </c>
      <c r="D64" s="716" t="s">
        <v>963</v>
      </c>
      <c r="E64" s="715" t="s">
        <v>964</v>
      </c>
      <c r="F64" s="716" t="s">
        <v>965</v>
      </c>
      <c r="G64" s="715" t="s">
        <v>966</v>
      </c>
      <c r="J64" s="488"/>
      <c r="K64" s="488"/>
      <c r="L64" s="26"/>
      <c r="O64" s="432"/>
      <c r="P64" s="432"/>
      <c r="Q64" s="432"/>
      <c r="R64" s="432"/>
      <c r="S64" s="432"/>
      <c r="T64" s="432"/>
      <c r="U64" s="432"/>
      <c r="V64" s="432"/>
      <c r="W64" s="432"/>
    </row>
    <row r="65" spans="2:7" x14ac:dyDescent="0.25">
      <c r="B65" s="1545"/>
      <c r="C65" s="721" t="s">
        <v>967</v>
      </c>
      <c r="D65" s="722" t="s">
        <v>263</v>
      </c>
      <c r="E65" s="723" t="s">
        <v>950</v>
      </c>
      <c r="F65" s="724" t="s">
        <v>179</v>
      </c>
      <c r="G65" s="778" t="s">
        <v>950</v>
      </c>
    </row>
    <row r="66" spans="2:7" x14ac:dyDescent="0.25">
      <c r="B66" s="1545"/>
      <c r="C66" s="731" t="s">
        <v>953</v>
      </c>
      <c r="D66" s="732" t="s">
        <v>267</v>
      </c>
      <c r="E66" s="733" t="s">
        <v>952</v>
      </c>
      <c r="F66" s="733" t="s">
        <v>190</v>
      </c>
      <c r="G66" s="779" t="s">
        <v>952</v>
      </c>
    </row>
    <row r="67" spans="2:7" x14ac:dyDescent="0.25">
      <c r="B67" s="1545"/>
      <c r="C67" s="731" t="s">
        <v>968</v>
      </c>
      <c r="D67" s="732" t="s">
        <v>269</v>
      </c>
      <c r="E67" s="740" t="s">
        <v>955</v>
      </c>
      <c r="F67" s="733" t="s">
        <v>196</v>
      </c>
      <c r="G67" s="780" t="s">
        <v>955</v>
      </c>
    </row>
    <row r="68" spans="2:7" x14ac:dyDescent="0.25">
      <c r="B68" s="1545"/>
      <c r="C68" s="731" t="s">
        <v>223</v>
      </c>
      <c r="D68" s="732" t="s">
        <v>223</v>
      </c>
      <c r="E68" s="740" t="s">
        <v>956</v>
      </c>
      <c r="F68" s="733" t="s">
        <v>203</v>
      </c>
      <c r="G68" s="780" t="s">
        <v>956</v>
      </c>
    </row>
    <row r="69" spans="2:7" x14ac:dyDescent="0.25">
      <c r="B69" s="1545"/>
      <c r="C69" s="746"/>
      <c r="D69" s="79"/>
      <c r="E69" s="740" t="s">
        <v>969</v>
      </c>
      <c r="F69" s="733" t="s">
        <v>206</v>
      </c>
      <c r="G69" s="780" t="s">
        <v>958</v>
      </c>
    </row>
    <row r="70" spans="2:7" x14ac:dyDescent="0.25">
      <c r="B70" s="1545"/>
      <c r="C70" s="746"/>
      <c r="D70" s="79"/>
      <c r="E70" s="740" t="s">
        <v>957</v>
      </c>
      <c r="F70" s="733" t="s">
        <v>213</v>
      </c>
      <c r="G70" s="780" t="s">
        <v>957</v>
      </c>
    </row>
    <row r="71" spans="2:7" x14ac:dyDescent="0.25">
      <c r="B71" s="1545"/>
      <c r="C71" s="746"/>
      <c r="D71" s="79"/>
      <c r="E71" s="740" t="s">
        <v>959</v>
      </c>
      <c r="F71" s="733" t="s">
        <v>220</v>
      </c>
      <c r="G71" s="780" t="s">
        <v>959</v>
      </c>
    </row>
    <row r="72" spans="2:7" x14ac:dyDescent="0.25">
      <c r="B72" s="1545"/>
      <c r="C72" s="746"/>
      <c r="D72" s="79"/>
      <c r="E72" s="740" t="s">
        <v>960</v>
      </c>
      <c r="F72" s="733" t="s">
        <v>285</v>
      </c>
      <c r="G72" s="780" t="s">
        <v>960</v>
      </c>
    </row>
    <row r="73" spans="2:7" x14ac:dyDescent="0.25">
      <c r="B73" s="1545"/>
      <c r="C73" s="746"/>
      <c r="D73" s="79"/>
      <c r="E73" s="79"/>
      <c r="F73" s="733" t="s">
        <v>288</v>
      </c>
      <c r="G73" s="781"/>
    </row>
    <row r="74" spans="2:7" x14ac:dyDescent="0.25">
      <c r="B74" s="1545"/>
      <c r="C74" s="746"/>
      <c r="D74" s="79"/>
      <c r="E74" s="79"/>
      <c r="F74" s="733" t="s">
        <v>289</v>
      </c>
      <c r="G74" s="781"/>
    </row>
    <row r="75" spans="2:7" x14ac:dyDescent="0.25">
      <c r="B75" s="1545"/>
      <c r="C75" s="746"/>
      <c r="D75" s="79"/>
      <c r="E75" s="79"/>
      <c r="F75" s="733" t="s">
        <v>291</v>
      </c>
      <c r="G75" s="781"/>
    </row>
    <row r="76" spans="2:7" x14ac:dyDescent="0.25">
      <c r="B76" s="1545"/>
      <c r="C76" s="746"/>
      <c r="D76" s="79"/>
      <c r="E76" s="79"/>
      <c r="F76" s="733" t="s">
        <v>294</v>
      </c>
      <c r="G76" s="781"/>
    </row>
    <row r="77" spans="2:7" ht="15.75" thickBot="1" x14ac:dyDescent="0.3">
      <c r="B77" s="1545"/>
      <c r="C77" s="769"/>
      <c r="D77" s="82"/>
      <c r="E77" s="82"/>
      <c r="F77" s="782" t="s">
        <v>223</v>
      </c>
      <c r="G77" s="783"/>
    </row>
    <row r="80" spans="2:7" ht="28.5" x14ac:dyDescent="0.45">
      <c r="B80" s="713"/>
    </row>
    <row r="81" spans="2:22" ht="31.5" x14ac:dyDescent="0.5">
      <c r="B81" s="784" t="s">
        <v>970</v>
      </c>
      <c r="C81" s="785"/>
      <c r="D81" s="785"/>
      <c r="E81" s="785"/>
      <c r="F81" s="785"/>
      <c r="G81" s="785"/>
      <c r="H81" s="785"/>
      <c r="I81" s="785"/>
      <c r="J81" s="785"/>
      <c r="K81" s="785"/>
      <c r="L81" s="785"/>
      <c r="M81" s="785"/>
      <c r="N81" s="785"/>
      <c r="O81" s="785"/>
    </row>
    <row r="82" spans="2:22" ht="30.75" customHeight="1" thickBot="1" x14ac:dyDescent="0.5">
      <c r="B82" s="713"/>
      <c r="C82" s="432"/>
      <c r="D82" s="124"/>
      <c r="E82" s="124"/>
      <c r="F82" s="124"/>
      <c r="G82" s="124"/>
      <c r="H82" s="432"/>
      <c r="I82" s="432"/>
      <c r="J82" s="432"/>
      <c r="K82" s="432"/>
      <c r="L82" s="432"/>
      <c r="O82"/>
      <c r="V82" s="432"/>
    </row>
    <row r="83" spans="2:22" s="462" customFormat="1" ht="42" customHeight="1" thickBot="1" x14ac:dyDescent="0.3">
      <c r="B83" s="1550" t="s">
        <v>971</v>
      </c>
      <c r="C83" s="786" t="s">
        <v>160</v>
      </c>
      <c r="D83" s="787" t="s">
        <v>161</v>
      </c>
      <c r="E83" s="788" t="s">
        <v>162</v>
      </c>
      <c r="F83" s="787" t="s">
        <v>163</v>
      </c>
      <c r="G83" s="787" t="s">
        <v>164</v>
      </c>
      <c r="H83" s="787" t="s">
        <v>166</v>
      </c>
      <c r="I83" s="787" t="s">
        <v>167</v>
      </c>
      <c r="J83" s="787" t="s">
        <v>168</v>
      </c>
      <c r="K83" s="789" t="s">
        <v>169</v>
      </c>
      <c r="L83" s="790" t="s">
        <v>170</v>
      </c>
      <c r="M83" s="787" t="s">
        <v>1184</v>
      </c>
      <c r="N83" s="787"/>
      <c r="O83" s="787"/>
      <c r="V83" s="515"/>
    </row>
    <row r="84" spans="2:22" ht="15" customHeight="1" x14ac:dyDescent="0.25">
      <c r="B84" s="1545"/>
      <c r="C84" s="791" t="s">
        <v>180</v>
      </c>
      <c r="D84" s="792" t="s">
        <v>181</v>
      </c>
      <c r="E84" s="792" t="s">
        <v>181</v>
      </c>
      <c r="F84" s="792" t="s">
        <v>181</v>
      </c>
      <c r="G84" s="792" t="s">
        <v>181</v>
      </c>
      <c r="H84" s="793" t="s">
        <v>182</v>
      </c>
      <c r="I84" s="793" t="s">
        <v>182</v>
      </c>
      <c r="J84" s="793" t="s">
        <v>183</v>
      </c>
      <c r="K84" s="794" t="s">
        <v>181</v>
      </c>
      <c r="L84" s="795" t="s">
        <v>184</v>
      </c>
      <c r="M84" s="1249" t="s">
        <v>188</v>
      </c>
      <c r="N84" s="793"/>
      <c r="O84" s="1250"/>
      <c r="V84" s="432"/>
    </row>
    <row r="85" spans="2:22" ht="15" customHeight="1" x14ac:dyDescent="0.25">
      <c r="B85" s="1545"/>
      <c r="C85" s="796" t="s">
        <v>180</v>
      </c>
      <c r="D85" s="797" t="s">
        <v>181</v>
      </c>
      <c r="E85" s="797" t="s">
        <v>181</v>
      </c>
      <c r="F85" s="797" t="s">
        <v>181</v>
      </c>
      <c r="G85" s="797" t="s">
        <v>181</v>
      </c>
      <c r="H85" s="798" t="s">
        <v>181</v>
      </c>
      <c r="I85" s="798" t="s">
        <v>181</v>
      </c>
      <c r="J85" s="798" t="s">
        <v>191</v>
      </c>
      <c r="K85" s="799" t="s">
        <v>181</v>
      </c>
      <c r="L85" s="800" t="s">
        <v>181</v>
      </c>
      <c r="M85" s="1251" t="s">
        <v>188</v>
      </c>
      <c r="N85" s="798"/>
      <c r="O85" s="1252"/>
      <c r="V85" s="432"/>
    </row>
    <row r="86" spans="2:22" ht="15" customHeight="1" x14ac:dyDescent="0.25">
      <c r="B86" s="1545"/>
      <c r="C86" s="796" t="s">
        <v>180</v>
      </c>
      <c r="D86" s="797" t="s">
        <v>197</v>
      </c>
      <c r="E86" s="797" t="s">
        <v>197</v>
      </c>
      <c r="F86" s="797" t="s">
        <v>197</v>
      </c>
      <c r="G86" s="797" t="s">
        <v>197</v>
      </c>
      <c r="H86" s="798" t="s">
        <v>182</v>
      </c>
      <c r="I86" s="798" t="s">
        <v>182</v>
      </c>
      <c r="J86" s="798" t="s">
        <v>198</v>
      </c>
      <c r="K86" s="799" t="s">
        <v>181</v>
      </c>
      <c r="L86" s="800" t="s">
        <v>199</v>
      </c>
      <c r="M86" s="1251" t="s">
        <v>188</v>
      </c>
      <c r="N86" s="798"/>
      <c r="O86" s="1252"/>
      <c r="V86" s="432"/>
    </row>
    <row r="87" spans="2:22" ht="15" customHeight="1" x14ac:dyDescent="0.25">
      <c r="B87" s="1545"/>
      <c r="C87" s="796" t="s">
        <v>180</v>
      </c>
      <c r="D87" s="797" t="s">
        <v>181</v>
      </c>
      <c r="E87" s="797" t="s">
        <v>181</v>
      </c>
      <c r="F87" s="797" t="s">
        <v>181</v>
      </c>
      <c r="G87" s="797" t="s">
        <v>181</v>
      </c>
      <c r="H87" s="798" t="s">
        <v>182</v>
      </c>
      <c r="I87" s="798" t="s">
        <v>182</v>
      </c>
      <c r="J87" s="798" t="s">
        <v>204</v>
      </c>
      <c r="K87" s="799" t="s">
        <v>199</v>
      </c>
      <c r="L87" s="800" t="s">
        <v>181</v>
      </c>
      <c r="M87" s="1251" t="s">
        <v>182</v>
      </c>
      <c r="N87" s="798"/>
      <c r="O87" s="1252"/>
      <c r="V87" s="432"/>
    </row>
    <row r="88" spans="2:22" ht="15" customHeight="1" x14ac:dyDescent="0.25">
      <c r="B88" s="1545"/>
      <c r="C88" s="801" t="s">
        <v>207</v>
      </c>
      <c r="D88" s="797" t="s">
        <v>208</v>
      </c>
      <c r="E88" s="797" t="s">
        <v>208</v>
      </c>
      <c r="F88" s="797" t="s">
        <v>208</v>
      </c>
      <c r="G88" s="797" t="s">
        <v>208</v>
      </c>
      <c r="H88" s="798" t="s">
        <v>181</v>
      </c>
      <c r="I88" s="798" t="s">
        <v>181</v>
      </c>
      <c r="J88" s="798" t="s">
        <v>210</v>
      </c>
      <c r="K88" s="802"/>
      <c r="L88" s="803"/>
      <c r="M88" s="1255"/>
      <c r="N88" s="1256"/>
      <c r="O88" s="1253"/>
      <c r="V88" s="432"/>
    </row>
    <row r="89" spans="2:22" ht="15" customHeight="1" x14ac:dyDescent="0.25">
      <c r="B89" s="1545"/>
      <c r="C89" s="801" t="s">
        <v>207</v>
      </c>
      <c r="D89" s="797" t="s">
        <v>214</v>
      </c>
      <c r="E89" s="797" t="s">
        <v>214</v>
      </c>
      <c r="F89" s="797" t="s">
        <v>214</v>
      </c>
      <c r="G89" s="797" t="s">
        <v>214</v>
      </c>
      <c r="H89" s="798" t="s">
        <v>215</v>
      </c>
      <c r="I89" s="798" t="s">
        <v>215</v>
      </c>
      <c r="J89" s="798" t="s">
        <v>216</v>
      </c>
      <c r="K89" s="802"/>
      <c r="L89" s="803"/>
      <c r="M89" s="1255"/>
      <c r="N89" s="1256"/>
      <c r="O89" s="1253"/>
      <c r="V89" s="432"/>
    </row>
    <row r="90" spans="2:22" ht="15" customHeight="1" x14ac:dyDescent="0.25">
      <c r="B90" s="1545"/>
      <c r="C90" s="801" t="s">
        <v>207</v>
      </c>
      <c r="D90" s="797" t="s">
        <v>208</v>
      </c>
      <c r="E90" s="797" t="s">
        <v>208</v>
      </c>
      <c r="F90" s="797" t="s">
        <v>208</v>
      </c>
      <c r="G90" s="797" t="s">
        <v>208</v>
      </c>
      <c r="H90" s="804"/>
      <c r="I90" s="804"/>
      <c r="J90" s="804"/>
      <c r="K90" s="802"/>
      <c r="L90" s="803"/>
      <c r="M90" s="1255"/>
      <c r="N90" s="1256"/>
      <c r="O90" s="1253"/>
      <c r="V90" s="432"/>
    </row>
    <row r="91" spans="2:22" ht="15.75" customHeight="1" x14ac:dyDescent="0.25">
      <c r="B91" s="1545"/>
      <c r="C91" s="805"/>
      <c r="D91" s="797" t="s">
        <v>214</v>
      </c>
      <c r="E91" s="797" t="s">
        <v>214</v>
      </c>
      <c r="F91" s="797" t="s">
        <v>214</v>
      </c>
      <c r="G91" s="797" t="s">
        <v>214</v>
      </c>
      <c r="H91" s="804"/>
      <c r="I91" s="804"/>
      <c r="J91" s="804"/>
      <c r="K91" s="802"/>
      <c r="L91" s="803"/>
      <c r="M91" s="1255"/>
      <c r="N91" s="1256"/>
      <c r="O91" s="1253"/>
      <c r="V91" s="432"/>
    </row>
    <row r="92" spans="2:22" ht="15" customHeight="1" x14ac:dyDescent="0.25">
      <c r="B92" s="1545"/>
      <c r="C92" s="805"/>
      <c r="D92" s="797" t="s">
        <v>208</v>
      </c>
      <c r="E92" s="797" t="s">
        <v>208</v>
      </c>
      <c r="F92" s="797" t="s">
        <v>208</v>
      </c>
      <c r="G92" s="797" t="s">
        <v>208</v>
      </c>
      <c r="H92" s="804"/>
      <c r="I92" s="804"/>
      <c r="J92" s="804"/>
      <c r="K92" s="802"/>
      <c r="L92" s="803"/>
      <c r="M92" s="1255"/>
      <c r="N92" s="1256"/>
      <c r="O92" s="1253"/>
      <c r="V92" s="432"/>
    </row>
    <row r="93" spans="2:22" ht="15" customHeight="1" x14ac:dyDescent="0.25">
      <c r="B93" s="1545"/>
      <c r="C93" s="805"/>
      <c r="D93" s="797" t="s">
        <v>181</v>
      </c>
      <c r="E93" s="804"/>
      <c r="F93" s="797" t="s">
        <v>199</v>
      </c>
      <c r="G93" s="804"/>
      <c r="H93" s="804"/>
      <c r="I93" s="804"/>
      <c r="J93" s="804"/>
      <c r="K93" s="802"/>
      <c r="L93" s="803"/>
      <c r="M93" s="1255"/>
      <c r="N93" s="1256"/>
      <c r="O93" s="1253"/>
      <c r="V93" s="432"/>
    </row>
    <row r="94" spans="2:22" ht="15" customHeight="1" x14ac:dyDescent="0.25">
      <c r="B94" s="1545"/>
      <c r="C94" s="805"/>
      <c r="D94" s="797" t="s">
        <v>181</v>
      </c>
      <c r="E94" s="804"/>
      <c r="F94" s="804"/>
      <c r="G94" s="804"/>
      <c r="H94" s="804"/>
      <c r="I94" s="804"/>
      <c r="J94" s="804"/>
      <c r="K94" s="802"/>
      <c r="L94" s="803"/>
      <c r="M94" s="1255"/>
      <c r="N94" s="1256"/>
      <c r="O94" s="1253"/>
      <c r="V94" s="432"/>
    </row>
    <row r="95" spans="2:22" ht="15" customHeight="1" x14ac:dyDescent="0.25">
      <c r="B95" s="1545"/>
      <c r="C95" s="805"/>
      <c r="D95" s="797" t="s">
        <v>181</v>
      </c>
      <c r="E95" s="804"/>
      <c r="F95" s="804"/>
      <c r="G95" s="804"/>
      <c r="H95" s="804"/>
      <c r="I95" s="804"/>
      <c r="J95" s="804"/>
      <c r="K95" s="802"/>
      <c r="L95" s="803"/>
      <c r="M95" s="1255"/>
      <c r="N95" s="1256"/>
      <c r="O95" s="1253"/>
      <c r="V95" s="432"/>
    </row>
    <row r="96" spans="2:22" ht="15.75" thickBot="1" x14ac:dyDescent="0.3">
      <c r="B96" s="1545"/>
      <c r="C96" s="806"/>
      <c r="D96" s="807" t="s">
        <v>199</v>
      </c>
      <c r="E96" s="808"/>
      <c r="F96" s="808"/>
      <c r="G96" s="808"/>
      <c r="H96" s="808"/>
      <c r="I96" s="808"/>
      <c r="J96" s="808"/>
      <c r="K96" s="809"/>
      <c r="L96" s="810"/>
      <c r="M96" s="1257"/>
      <c r="N96" s="1258"/>
      <c r="O96" s="1254"/>
      <c r="V96" s="432"/>
    </row>
    <row r="97" spans="2:23" ht="28.5" x14ac:dyDescent="0.45">
      <c r="B97" s="713"/>
      <c r="E97" s="613"/>
      <c r="F97" s="432"/>
      <c r="G97" s="432"/>
      <c r="H97" s="81"/>
      <c r="I97" s="432"/>
      <c r="J97" s="432"/>
      <c r="K97" s="432"/>
      <c r="L97" s="432"/>
      <c r="W97" s="432"/>
    </row>
    <row r="98" spans="2:23" ht="29.25" thickBot="1" x14ac:dyDescent="0.5">
      <c r="B98" s="811"/>
      <c r="M98" s="522"/>
    </row>
    <row r="99" spans="2:23" ht="25.5" customHeight="1" thickBot="1" x14ac:dyDescent="0.3">
      <c r="B99" s="1545" t="s">
        <v>1199</v>
      </c>
      <c r="C99" s="812" t="s">
        <v>166</v>
      </c>
      <c r="M99"/>
    </row>
    <row r="100" spans="2:23" ht="15" customHeight="1" x14ac:dyDescent="0.25">
      <c r="B100" s="1545"/>
      <c r="C100" s="813" t="s">
        <v>182</v>
      </c>
      <c r="M100"/>
    </row>
    <row r="101" spans="2:23" ht="15" customHeight="1" x14ac:dyDescent="0.25">
      <c r="B101" s="1545"/>
      <c r="C101" s="814" t="s">
        <v>181</v>
      </c>
      <c r="M101"/>
    </row>
    <row r="102" spans="2:23" ht="15" customHeight="1" x14ac:dyDescent="0.25">
      <c r="B102" s="1545"/>
      <c r="C102" s="814" t="s">
        <v>182</v>
      </c>
      <c r="M102"/>
    </row>
    <row r="103" spans="2:23" ht="15" customHeight="1" x14ac:dyDescent="0.25">
      <c r="B103" s="1545"/>
      <c r="C103" s="814" t="s">
        <v>181</v>
      </c>
      <c r="M103" s="1248"/>
    </row>
    <row r="104" spans="2:23" ht="15" customHeight="1" x14ac:dyDescent="0.25">
      <c r="B104" s="1545"/>
      <c r="C104" s="814" t="s">
        <v>182</v>
      </c>
    </row>
    <row r="105" spans="2:23" ht="15" customHeight="1" x14ac:dyDescent="0.25">
      <c r="B105" s="1545"/>
      <c r="C105" s="814" t="s">
        <v>972</v>
      </c>
    </row>
    <row r="106" spans="2:23" ht="15.75" customHeight="1" thickBot="1" x14ac:dyDescent="0.3">
      <c r="B106" s="1545"/>
      <c r="C106" s="815" t="s">
        <v>215</v>
      </c>
    </row>
    <row r="107" spans="2:23" ht="15" customHeight="1" x14ac:dyDescent="0.25"/>
    <row r="108" spans="2:23" ht="15" customHeight="1" thickBot="1" x14ac:dyDescent="0.3"/>
    <row r="109" spans="2:23" ht="15" customHeight="1" thickBot="1" x14ac:dyDescent="0.3">
      <c r="B109" s="1545" t="s">
        <v>973</v>
      </c>
      <c r="C109" s="816" t="s">
        <v>165</v>
      </c>
    </row>
    <row r="110" spans="2:23" ht="15" customHeight="1" x14ac:dyDescent="0.25">
      <c r="B110" s="1545"/>
      <c r="C110" s="817" t="s">
        <v>181</v>
      </c>
    </row>
    <row r="111" spans="2:23" ht="15" customHeight="1" x14ac:dyDescent="0.25">
      <c r="B111" s="1545"/>
      <c r="C111" s="818" t="s">
        <v>181</v>
      </c>
    </row>
    <row r="112" spans="2:23" ht="15" customHeight="1" x14ac:dyDescent="0.25">
      <c r="B112" s="1545"/>
      <c r="C112" s="818" t="s">
        <v>181</v>
      </c>
    </row>
    <row r="113" spans="2:7" ht="15" customHeight="1" x14ac:dyDescent="0.25">
      <c r="B113" s="1545"/>
      <c r="C113" s="818" t="s">
        <v>181</v>
      </c>
    </row>
    <row r="114" spans="2:7" ht="15" customHeight="1" thickBot="1" x14ac:dyDescent="0.3">
      <c r="B114" s="1545"/>
      <c r="C114" s="819" t="s">
        <v>209</v>
      </c>
    </row>
    <row r="115" spans="2:7" ht="15" customHeight="1" x14ac:dyDescent="0.25"/>
    <row r="116" spans="2:7" ht="28.5" x14ac:dyDescent="0.45">
      <c r="B116" s="811"/>
    </row>
    <row r="117" spans="2:7" ht="15.75" customHeight="1" thickBot="1" x14ac:dyDescent="0.3">
      <c r="B117" s="1542" t="s">
        <v>974</v>
      </c>
      <c r="C117" s="820" t="s">
        <v>171</v>
      </c>
      <c r="D117" s="821" t="s">
        <v>172</v>
      </c>
      <c r="E117" s="821" t="s">
        <v>173</v>
      </c>
      <c r="F117" s="821" t="s">
        <v>174</v>
      </c>
      <c r="G117" s="822" t="s">
        <v>175</v>
      </c>
    </row>
    <row r="118" spans="2:7" ht="26.25" customHeight="1" x14ac:dyDescent="0.25">
      <c r="B118" s="1543"/>
      <c r="C118" s="823" t="s">
        <v>185</v>
      </c>
      <c r="D118" s="824" t="s">
        <v>185</v>
      </c>
      <c r="E118" s="825" t="s">
        <v>186</v>
      </c>
      <c r="F118" s="825" t="s">
        <v>187</v>
      </c>
      <c r="G118" s="826" t="s">
        <v>182</v>
      </c>
    </row>
    <row r="119" spans="2:7" ht="15.75" customHeight="1" x14ac:dyDescent="0.25">
      <c r="B119" s="1543"/>
      <c r="C119" s="827" t="s">
        <v>185</v>
      </c>
      <c r="D119" s="828" t="s">
        <v>185</v>
      </c>
      <c r="E119" s="828" t="s">
        <v>192</v>
      </c>
      <c r="F119" s="828" t="s">
        <v>193</v>
      </c>
      <c r="G119" s="829"/>
    </row>
    <row r="120" spans="2:7" ht="15" customHeight="1" x14ac:dyDescent="0.25">
      <c r="B120" s="1543"/>
      <c r="C120" s="827" t="s">
        <v>200</v>
      </c>
      <c r="D120" s="828" t="s">
        <v>200</v>
      </c>
      <c r="E120" s="828" t="s">
        <v>201</v>
      </c>
      <c r="F120" s="828" t="s">
        <v>193</v>
      </c>
      <c r="G120" s="829"/>
    </row>
    <row r="121" spans="2:7" ht="15" customHeight="1" x14ac:dyDescent="0.25">
      <c r="B121" s="1543"/>
      <c r="C121" s="827" t="s">
        <v>200</v>
      </c>
      <c r="D121" s="828" t="s">
        <v>200</v>
      </c>
      <c r="E121" s="79"/>
      <c r="F121" s="828" t="s">
        <v>193</v>
      </c>
      <c r="G121" s="829"/>
    </row>
    <row r="122" spans="2:7" ht="15" customHeight="1" x14ac:dyDescent="0.25">
      <c r="B122" s="1543"/>
      <c r="C122" s="830"/>
      <c r="D122" s="79"/>
      <c r="E122" s="79"/>
      <c r="F122" s="828" t="s">
        <v>193</v>
      </c>
      <c r="G122" s="829"/>
    </row>
    <row r="123" spans="2:7" ht="15" customHeight="1" x14ac:dyDescent="0.25">
      <c r="B123" s="1543"/>
      <c r="C123" s="830"/>
      <c r="D123" s="79"/>
      <c r="E123" s="79"/>
      <c r="F123" s="828" t="s">
        <v>217</v>
      </c>
      <c r="G123" s="829"/>
    </row>
    <row r="124" spans="2:7" ht="15" customHeight="1" x14ac:dyDescent="0.25">
      <c r="B124" s="1543"/>
      <c r="C124" s="830"/>
      <c r="D124" s="79"/>
      <c r="E124" s="79"/>
      <c r="F124" s="828" t="s">
        <v>217</v>
      </c>
      <c r="G124" s="829"/>
    </row>
    <row r="125" spans="2:7" ht="15" customHeight="1" x14ac:dyDescent="0.25">
      <c r="B125" s="1543"/>
      <c r="C125" s="746"/>
      <c r="D125" s="79"/>
      <c r="E125" s="79"/>
      <c r="F125" s="828" t="s">
        <v>224</v>
      </c>
      <c r="G125" s="829"/>
    </row>
    <row r="126" spans="2:7" ht="15" customHeight="1" x14ac:dyDescent="0.25">
      <c r="B126" s="1543"/>
      <c r="C126" s="746"/>
      <c r="D126" s="79"/>
      <c r="E126" s="79"/>
      <c r="F126" s="828" t="s">
        <v>224</v>
      </c>
      <c r="G126" s="829"/>
    </row>
    <row r="127" spans="2:7" ht="15.75" customHeight="1" x14ac:dyDescent="0.25">
      <c r="B127" s="1543"/>
      <c r="C127" s="746"/>
      <c r="D127" s="79"/>
      <c r="E127" s="79"/>
      <c r="F127" s="828" t="s">
        <v>227</v>
      </c>
      <c r="G127" s="829"/>
    </row>
    <row r="128" spans="2:7" ht="15" customHeight="1" x14ac:dyDescent="0.25">
      <c r="B128" s="1543"/>
      <c r="C128" s="746"/>
      <c r="D128" s="79"/>
      <c r="E128" s="79"/>
      <c r="F128" s="828" t="s">
        <v>227</v>
      </c>
      <c r="G128" s="829"/>
    </row>
    <row r="129" spans="2:7" ht="15" customHeight="1" x14ac:dyDescent="0.25">
      <c r="B129" s="1543"/>
      <c r="C129" s="746"/>
      <c r="D129" s="79"/>
      <c r="E129" s="79"/>
      <c r="F129" s="828" t="s">
        <v>230</v>
      </c>
      <c r="G129" s="829"/>
    </row>
    <row r="130" spans="2:7" ht="15" customHeight="1" x14ac:dyDescent="0.25">
      <c r="B130" s="1543"/>
      <c r="C130" s="746"/>
      <c r="D130" s="79"/>
      <c r="E130" s="79"/>
      <c r="F130" s="828" t="s">
        <v>182</v>
      </c>
      <c r="G130" s="829"/>
    </row>
    <row r="131" spans="2:7" ht="15.75" customHeight="1" thickBot="1" x14ac:dyDescent="0.3">
      <c r="B131" s="1543"/>
      <c r="C131" s="769"/>
      <c r="D131" s="82"/>
      <c r="E131" s="82"/>
      <c r="F131" s="831" t="s">
        <v>230</v>
      </c>
      <c r="G131" s="832"/>
    </row>
    <row r="132" spans="2:7" ht="28.5" x14ac:dyDescent="0.45">
      <c r="B132" s="833"/>
      <c r="C132" s="315"/>
      <c r="D132" s="315"/>
      <c r="E132" s="315"/>
      <c r="F132" s="315"/>
      <c r="G132" s="834"/>
    </row>
    <row r="133" spans="2:7" ht="29.25" thickBot="1" x14ac:dyDescent="0.5">
      <c r="B133" s="833"/>
      <c r="C133" s="835" t="s">
        <v>975</v>
      </c>
      <c r="D133" s="835"/>
      <c r="E133" s="835"/>
      <c r="F133" s="835"/>
      <c r="G133" s="834"/>
    </row>
    <row r="134" spans="2:7" ht="15.75" customHeight="1" thickBot="1" x14ac:dyDescent="0.3">
      <c r="B134" s="1552" t="s">
        <v>976</v>
      </c>
      <c r="C134" s="836" t="s">
        <v>171</v>
      </c>
      <c r="D134" s="837"/>
      <c r="E134" s="837" t="s">
        <v>173</v>
      </c>
      <c r="F134" s="838" t="s">
        <v>174</v>
      </c>
      <c r="G134" s="834"/>
    </row>
    <row r="135" spans="2:7" ht="15" customHeight="1" x14ac:dyDescent="0.25">
      <c r="B135" s="1553"/>
      <c r="C135" s="839" t="s">
        <v>187</v>
      </c>
      <c r="D135" s="840"/>
      <c r="E135" s="825" t="s">
        <v>193</v>
      </c>
      <c r="F135" s="841" t="s">
        <v>182</v>
      </c>
      <c r="G135" s="834"/>
    </row>
    <row r="136" spans="2:7" ht="15" customHeight="1" x14ac:dyDescent="0.25">
      <c r="B136" s="1553"/>
      <c r="C136" s="842" t="s">
        <v>188</v>
      </c>
      <c r="D136" s="79"/>
      <c r="E136" s="828" t="s">
        <v>217</v>
      </c>
      <c r="F136" s="843" t="s">
        <v>187</v>
      </c>
      <c r="G136" s="834"/>
    </row>
    <row r="137" spans="2:7" ht="15" customHeight="1" x14ac:dyDescent="0.25">
      <c r="B137" s="1553"/>
      <c r="C137" s="842" t="s">
        <v>188</v>
      </c>
      <c r="D137" s="79"/>
      <c r="E137" s="828" t="s">
        <v>224</v>
      </c>
      <c r="F137" s="843" t="s">
        <v>182</v>
      </c>
      <c r="G137" s="834"/>
    </row>
    <row r="138" spans="2:7" ht="15" customHeight="1" x14ac:dyDescent="0.25">
      <c r="B138" s="1553"/>
      <c r="C138" s="842" t="s">
        <v>187</v>
      </c>
      <c r="D138" s="79"/>
      <c r="E138" s="828" t="s">
        <v>227</v>
      </c>
      <c r="F138" s="843" t="s">
        <v>188</v>
      </c>
      <c r="G138" s="834"/>
    </row>
    <row r="139" spans="2:7" ht="15" customHeight="1" x14ac:dyDescent="0.25">
      <c r="B139" s="1553"/>
      <c r="C139" s="842" t="s">
        <v>188</v>
      </c>
      <c r="D139" s="79"/>
      <c r="E139" s="828" t="s">
        <v>193</v>
      </c>
      <c r="F139" s="78"/>
      <c r="G139" s="834"/>
    </row>
    <row r="140" spans="2:7" ht="15.75" customHeight="1" x14ac:dyDescent="0.25">
      <c r="B140" s="1553"/>
      <c r="C140" s="842" t="s">
        <v>188</v>
      </c>
      <c r="D140" s="79"/>
      <c r="E140" s="828" t="s">
        <v>182</v>
      </c>
      <c r="F140" s="78"/>
      <c r="G140" s="834"/>
    </row>
    <row r="141" spans="2:7" ht="15" customHeight="1" x14ac:dyDescent="0.25">
      <c r="B141" s="1553"/>
      <c r="C141" s="842" t="s">
        <v>187</v>
      </c>
      <c r="D141" s="79"/>
      <c r="E141" s="828" t="s">
        <v>182</v>
      </c>
      <c r="F141" s="78"/>
      <c r="G141" s="834"/>
    </row>
    <row r="142" spans="2:7" ht="15" customHeight="1" x14ac:dyDescent="0.25">
      <c r="B142" s="1553"/>
      <c r="C142" s="842" t="s">
        <v>188</v>
      </c>
      <c r="D142" s="79"/>
      <c r="E142" s="828" t="s">
        <v>193</v>
      </c>
      <c r="F142" s="78"/>
      <c r="G142" s="834"/>
    </row>
    <row r="143" spans="2:7" ht="15" customHeight="1" x14ac:dyDescent="0.25">
      <c r="B143" s="1553"/>
      <c r="C143" s="842" t="s">
        <v>188</v>
      </c>
      <c r="D143" s="79"/>
      <c r="E143" s="79"/>
      <c r="F143" s="78"/>
      <c r="G143" s="834"/>
    </row>
    <row r="144" spans="2:7" ht="15" customHeight="1" x14ac:dyDescent="0.25">
      <c r="B144" s="1553"/>
      <c r="C144" s="842" t="s">
        <v>187</v>
      </c>
      <c r="D144" s="79"/>
      <c r="E144" s="79"/>
      <c r="F144" s="78"/>
      <c r="G144" s="834"/>
    </row>
    <row r="145" spans="2:7" ht="15" customHeight="1" x14ac:dyDescent="0.25">
      <c r="B145" s="1553"/>
      <c r="C145" s="842" t="s">
        <v>188</v>
      </c>
      <c r="D145" s="79"/>
      <c r="E145" s="79"/>
      <c r="F145" s="78"/>
      <c r="G145" s="834"/>
    </row>
    <row r="146" spans="2:7" ht="15" customHeight="1" x14ac:dyDescent="0.25">
      <c r="B146" s="1553"/>
      <c r="C146" s="842" t="s">
        <v>187</v>
      </c>
      <c r="D146" s="79"/>
      <c r="E146" s="79"/>
      <c r="F146" s="78"/>
      <c r="G146" s="834"/>
    </row>
    <row r="147" spans="2:7" ht="15" customHeight="1" x14ac:dyDescent="0.25">
      <c r="B147" s="1553"/>
      <c r="C147" s="842" t="s">
        <v>188</v>
      </c>
      <c r="D147" s="79"/>
      <c r="E147" s="79"/>
      <c r="F147" s="78"/>
      <c r="G147" s="834"/>
    </row>
    <row r="148" spans="2:7" ht="15" customHeight="1" x14ac:dyDescent="0.25">
      <c r="B148" s="1553"/>
      <c r="C148" s="842" t="s">
        <v>187</v>
      </c>
      <c r="D148" s="79"/>
      <c r="E148" s="79"/>
      <c r="F148" s="78"/>
      <c r="G148" s="834"/>
    </row>
    <row r="149" spans="2:7" ht="27" customHeight="1" x14ac:dyDescent="0.25">
      <c r="B149" s="1554"/>
      <c r="C149" s="844" t="s">
        <v>188</v>
      </c>
      <c r="D149" s="845"/>
      <c r="E149" s="845"/>
      <c r="F149" s="846"/>
      <c r="G149" s="847"/>
    </row>
    <row r="150" spans="2:7" ht="29.25" thickBot="1" x14ac:dyDescent="0.5">
      <c r="B150" s="713"/>
    </row>
    <row r="151" spans="2:7" ht="15.75" customHeight="1" thickBot="1" x14ac:dyDescent="0.3">
      <c r="B151" s="1555" t="s">
        <v>977</v>
      </c>
      <c r="C151" s="848" t="s">
        <v>978</v>
      </c>
    </row>
    <row r="152" spans="2:7" ht="15" customHeight="1" x14ac:dyDescent="0.25">
      <c r="B152" s="1555"/>
      <c r="C152" s="849" t="s">
        <v>979</v>
      </c>
    </row>
    <row r="153" spans="2:7" ht="15" customHeight="1" x14ac:dyDescent="0.25">
      <c r="B153" s="1555"/>
      <c r="C153" s="849" t="s">
        <v>980</v>
      </c>
    </row>
    <row r="154" spans="2:7" ht="15" customHeight="1" x14ac:dyDescent="0.25">
      <c r="B154" s="1555"/>
      <c r="C154" s="849" t="s">
        <v>980</v>
      </c>
    </row>
    <row r="155" spans="2:7" ht="15" customHeight="1" x14ac:dyDescent="0.25">
      <c r="B155" s="1555"/>
      <c r="C155" s="849" t="s">
        <v>980</v>
      </c>
    </row>
    <row r="156" spans="2:7" ht="15" customHeight="1" x14ac:dyDescent="0.25">
      <c r="B156" s="1555"/>
      <c r="C156" s="849" t="s">
        <v>980</v>
      </c>
    </row>
    <row r="157" spans="2:7" ht="15.75" customHeight="1" thickBot="1" x14ac:dyDescent="0.3">
      <c r="B157" s="1555"/>
      <c r="C157" s="850" t="s">
        <v>980</v>
      </c>
    </row>
    <row r="158" spans="2:7" ht="29.25" thickBot="1" x14ac:dyDescent="0.5">
      <c r="B158" s="713"/>
    </row>
    <row r="159" spans="2:7" ht="15.75" thickBot="1" x14ac:dyDescent="0.3">
      <c r="B159" s="1556" t="s">
        <v>981</v>
      </c>
      <c r="C159" s="851" t="s">
        <v>176</v>
      </c>
      <c r="D159" s="852" t="s">
        <v>177</v>
      </c>
      <c r="E159" s="852" t="s">
        <v>982</v>
      </c>
      <c r="F159" s="853" t="s">
        <v>982</v>
      </c>
    </row>
    <row r="160" spans="2:7" x14ac:dyDescent="0.25">
      <c r="B160" s="1557"/>
      <c r="C160" s="854" t="s">
        <v>188</v>
      </c>
      <c r="D160" s="855" t="s">
        <v>188</v>
      </c>
      <c r="E160" s="85"/>
      <c r="F160" s="856"/>
    </row>
    <row r="161" spans="2:6" ht="15" customHeight="1" x14ac:dyDescent="0.25">
      <c r="B161" s="1557"/>
      <c r="C161" s="857" t="s">
        <v>188</v>
      </c>
      <c r="D161" s="858" t="s">
        <v>188</v>
      </c>
      <c r="E161" s="79"/>
      <c r="F161" s="859"/>
    </row>
    <row r="162" spans="2:6" ht="15" customHeight="1" x14ac:dyDescent="0.25">
      <c r="B162" s="1557"/>
      <c r="C162" s="857" t="s">
        <v>188</v>
      </c>
      <c r="D162" s="858" t="s">
        <v>188</v>
      </c>
      <c r="E162" s="79"/>
      <c r="F162" s="859"/>
    </row>
    <row r="163" spans="2:6" ht="15" customHeight="1" x14ac:dyDescent="0.25">
      <c r="B163" s="1557"/>
      <c r="C163" s="857" t="s">
        <v>188</v>
      </c>
      <c r="D163" s="858" t="s">
        <v>188</v>
      </c>
      <c r="E163" s="79"/>
      <c r="F163" s="859"/>
    </row>
    <row r="164" spans="2:6" ht="15" customHeight="1" x14ac:dyDescent="0.25">
      <c r="B164" s="1557"/>
      <c r="C164" s="857" t="s">
        <v>188</v>
      </c>
      <c r="D164" s="858" t="s">
        <v>209</v>
      </c>
      <c r="E164" s="79"/>
      <c r="F164" s="859"/>
    </row>
    <row r="165" spans="2:6" ht="15" customHeight="1" x14ac:dyDescent="0.25">
      <c r="B165" s="1557"/>
      <c r="C165" s="857" t="s">
        <v>188</v>
      </c>
      <c r="D165" s="79"/>
      <c r="E165" s="79"/>
      <c r="F165" s="859"/>
    </row>
    <row r="166" spans="2:6" ht="15" customHeight="1" x14ac:dyDescent="0.25">
      <c r="B166" s="1557"/>
      <c r="C166" s="857" t="s">
        <v>188</v>
      </c>
      <c r="D166" s="79"/>
      <c r="E166" s="79"/>
      <c r="F166" s="859"/>
    </row>
    <row r="167" spans="2:6" ht="15" customHeight="1" x14ac:dyDescent="0.25">
      <c r="B167" s="1557"/>
      <c r="C167" s="857" t="s">
        <v>188</v>
      </c>
      <c r="D167" s="79"/>
      <c r="E167" s="79"/>
      <c r="F167" s="859"/>
    </row>
    <row r="168" spans="2:6" ht="15" customHeight="1" x14ac:dyDescent="0.25">
      <c r="B168" s="1557"/>
      <c r="C168" s="857" t="s">
        <v>188</v>
      </c>
      <c r="D168" s="79"/>
      <c r="E168" s="79"/>
      <c r="F168" s="859"/>
    </row>
    <row r="169" spans="2:6" ht="15" customHeight="1" x14ac:dyDescent="0.25">
      <c r="B169" s="1557"/>
      <c r="C169" s="857" t="s">
        <v>188</v>
      </c>
      <c r="D169" s="79"/>
      <c r="E169" s="79"/>
      <c r="F169" s="859"/>
    </row>
    <row r="170" spans="2:6" ht="15" customHeight="1" x14ac:dyDescent="0.25">
      <c r="B170" s="1557"/>
      <c r="C170" s="857" t="s">
        <v>188</v>
      </c>
      <c r="D170" s="79"/>
      <c r="E170" s="79"/>
      <c r="F170" s="859"/>
    </row>
    <row r="171" spans="2:6" ht="15" customHeight="1" x14ac:dyDescent="0.25">
      <c r="B171" s="1557"/>
      <c r="C171" s="857" t="s">
        <v>188</v>
      </c>
      <c r="D171" s="79"/>
      <c r="E171" s="79"/>
      <c r="F171" s="859"/>
    </row>
    <row r="172" spans="2:6" ht="15" customHeight="1" x14ac:dyDescent="0.25">
      <c r="B172" s="1557"/>
      <c r="C172" s="857" t="s">
        <v>209</v>
      </c>
      <c r="D172" s="79"/>
      <c r="E172" s="79"/>
      <c r="F172" s="859"/>
    </row>
    <row r="173" spans="2:6" ht="15.75" customHeight="1" thickBot="1" x14ac:dyDescent="0.3">
      <c r="B173" s="1557"/>
      <c r="C173" s="860" t="s">
        <v>209</v>
      </c>
      <c r="D173" s="82" t="s">
        <v>233</v>
      </c>
      <c r="E173" s="82"/>
      <c r="F173" s="861"/>
    </row>
    <row r="174" spans="2:6" ht="29.25" thickBot="1" x14ac:dyDescent="0.5">
      <c r="B174" s="713"/>
    </row>
    <row r="175" spans="2:6" ht="15.75" customHeight="1" thickBot="1" x14ac:dyDescent="0.3">
      <c r="B175" s="1558" t="s">
        <v>221</v>
      </c>
      <c r="C175" s="862" t="s">
        <v>983</v>
      </c>
      <c r="D175" s="863" t="s">
        <v>984</v>
      </c>
      <c r="E175" s="864" t="s">
        <v>985</v>
      </c>
    </row>
    <row r="176" spans="2:6" ht="15.75" customHeight="1" thickBot="1" x14ac:dyDescent="0.3">
      <c r="B176" s="1559"/>
      <c r="C176" s="865" t="s">
        <v>979</v>
      </c>
      <c r="D176" s="866" t="s">
        <v>986</v>
      </c>
      <c r="E176" s="867" t="s">
        <v>987</v>
      </c>
    </row>
    <row r="177" spans="2:23" ht="29.25" thickBot="1" x14ac:dyDescent="0.5">
      <c r="B177" s="713"/>
      <c r="C177" s="100"/>
      <c r="D177" s="104"/>
      <c r="E177" s="116"/>
    </row>
    <row r="178" spans="2:23" ht="15.75" customHeight="1" thickBot="1" x14ac:dyDescent="0.3">
      <c r="B178" s="1558" t="s">
        <v>211</v>
      </c>
      <c r="C178" s="868" t="s">
        <v>988</v>
      </c>
      <c r="D178" s="869" t="s">
        <v>989</v>
      </c>
      <c r="E178" s="870" t="s">
        <v>238</v>
      </c>
    </row>
    <row r="179" spans="2:23" ht="15" customHeight="1" x14ac:dyDescent="0.25">
      <c r="B179" s="1558"/>
      <c r="C179" s="871" t="s">
        <v>979</v>
      </c>
      <c r="D179" s="872" t="s">
        <v>979</v>
      </c>
      <c r="E179" s="873" t="s">
        <v>241</v>
      </c>
    </row>
    <row r="180" spans="2:23" ht="26.25" customHeight="1" x14ac:dyDescent="0.25">
      <c r="B180" s="1558"/>
      <c r="C180" s="874" t="s">
        <v>980</v>
      </c>
      <c r="D180" s="875" t="s">
        <v>980</v>
      </c>
      <c r="E180" s="876"/>
    </row>
    <row r="181" spans="2:23" ht="26.25" customHeight="1" x14ac:dyDescent="0.25">
      <c r="B181" s="1558"/>
      <c r="C181" s="874" t="s">
        <v>980</v>
      </c>
      <c r="D181" s="875" t="s">
        <v>980</v>
      </c>
      <c r="E181" s="876"/>
    </row>
    <row r="182" spans="2:23" ht="26.25" customHeight="1" x14ac:dyDescent="0.25">
      <c r="B182" s="1558"/>
      <c r="C182" s="874" t="s">
        <v>980</v>
      </c>
      <c r="D182" s="875" t="s">
        <v>980</v>
      </c>
      <c r="E182" s="876"/>
    </row>
    <row r="183" spans="2:23" ht="27" customHeight="1" thickBot="1" x14ac:dyDescent="0.3">
      <c r="B183" s="1558"/>
      <c r="C183" s="877" t="s">
        <v>980</v>
      </c>
      <c r="D183" s="878"/>
      <c r="E183" s="879"/>
    </row>
    <row r="184" spans="2:23" ht="28.5" x14ac:dyDescent="0.45">
      <c r="B184" s="713"/>
    </row>
    <row r="185" spans="2:23" ht="28.5" x14ac:dyDescent="0.45">
      <c r="B185" s="713"/>
    </row>
    <row r="186" spans="2:23" ht="31.5" x14ac:dyDescent="0.5">
      <c r="B186" s="784" t="s">
        <v>990</v>
      </c>
      <c r="C186" s="785"/>
      <c r="D186" s="785"/>
      <c r="E186" s="785"/>
      <c r="F186" s="785"/>
      <c r="G186" s="785"/>
      <c r="H186" s="785"/>
      <c r="I186" s="785"/>
      <c r="J186" s="785"/>
      <c r="K186" s="785"/>
      <c r="L186" s="785"/>
      <c r="M186" s="785"/>
      <c r="N186" s="785"/>
      <c r="O186" s="785"/>
    </row>
    <row r="187" spans="2:23" ht="15.75" thickBot="1" x14ac:dyDescent="0.3"/>
    <row r="188" spans="2:23" ht="15.75" thickBot="1" x14ac:dyDescent="0.3">
      <c r="B188" s="880" t="s">
        <v>374</v>
      </c>
      <c r="C188" s="98"/>
      <c r="D188" s="98"/>
      <c r="E188" s="98"/>
      <c r="F188" s="99"/>
      <c r="R188" s="432"/>
      <c r="S188" s="432"/>
      <c r="T188" s="432"/>
      <c r="U188" s="432"/>
      <c r="V188" s="432"/>
      <c r="W188" s="432"/>
    </row>
    <row r="189" spans="2:23" ht="15.75" thickBot="1" x14ac:dyDescent="0.3">
      <c r="D189" s="881"/>
      <c r="E189" s="882"/>
      <c r="F189" s="104"/>
      <c r="Q189" s="432"/>
      <c r="R189" s="432"/>
      <c r="S189" s="432"/>
      <c r="T189" s="432"/>
      <c r="U189" s="432"/>
      <c r="V189" s="432"/>
      <c r="W189" s="432"/>
    </row>
    <row r="190" spans="2:23" ht="30.75" customHeight="1" thickBot="1" x14ac:dyDescent="0.3">
      <c r="B190" s="1551" t="s">
        <v>375</v>
      </c>
      <c r="C190" s="883" t="s">
        <v>376</v>
      </c>
      <c r="D190" s="884" t="s">
        <v>377</v>
      </c>
      <c r="E190" s="884" t="s">
        <v>378</v>
      </c>
      <c r="F190" s="885" t="s">
        <v>379</v>
      </c>
      <c r="G190" s="102"/>
      <c r="Q190" s="432"/>
      <c r="R190" s="432"/>
      <c r="S190" s="432"/>
      <c r="T190" s="432"/>
      <c r="U190" s="432"/>
      <c r="V190" s="432"/>
      <c r="W190" s="432"/>
    </row>
    <row r="191" spans="2:23" ht="45.75" customHeight="1" thickBot="1" x14ac:dyDescent="0.3">
      <c r="B191" s="1551"/>
      <c r="C191" s="886" t="s">
        <v>380</v>
      </c>
      <c r="D191" s="887" t="s">
        <v>381</v>
      </c>
      <c r="E191" s="888" t="s">
        <v>382</v>
      </c>
      <c r="F191" s="889" t="s">
        <v>383</v>
      </c>
      <c r="G191" s="104"/>
      <c r="Q191" s="432"/>
      <c r="R191" s="432"/>
      <c r="S191" s="432"/>
      <c r="T191" s="432"/>
      <c r="U191" s="432"/>
      <c r="V191" s="432"/>
      <c r="W191" s="432"/>
    </row>
    <row r="192" spans="2:23" x14ac:dyDescent="0.25">
      <c r="C192" s="104"/>
      <c r="D192" s="104"/>
      <c r="E192" s="890"/>
      <c r="F192" s="104"/>
      <c r="G192" s="104"/>
      <c r="Q192" s="432"/>
      <c r="R192" s="432"/>
      <c r="S192" s="432"/>
      <c r="T192" s="432"/>
      <c r="U192" s="432"/>
      <c r="V192" s="432"/>
      <c r="W192" s="432"/>
    </row>
    <row r="193" spans="1:23" ht="15.75" thickBot="1" x14ac:dyDescent="0.3">
      <c r="G193" s="104"/>
      <c r="Q193" s="432"/>
      <c r="R193" s="432"/>
      <c r="S193" s="432"/>
      <c r="T193" s="432"/>
      <c r="U193" s="432"/>
      <c r="V193" s="432"/>
      <c r="W193" s="432"/>
    </row>
    <row r="194" spans="1:23" ht="30" customHeight="1" thickBot="1" x14ac:dyDescent="0.3">
      <c r="B194" s="1551" t="s">
        <v>384</v>
      </c>
      <c r="C194" s="891" t="s">
        <v>385</v>
      </c>
      <c r="D194" s="892" t="s">
        <v>386</v>
      </c>
      <c r="E194" s="893" t="s">
        <v>387</v>
      </c>
      <c r="G194" s="104"/>
      <c r="Q194" s="432"/>
      <c r="R194" s="432"/>
      <c r="S194" s="432"/>
      <c r="T194" s="432"/>
      <c r="U194" s="432"/>
      <c r="V194" s="432"/>
      <c r="W194" s="432"/>
    </row>
    <row r="195" spans="1:23" ht="51.75" thickBot="1" x14ac:dyDescent="0.3">
      <c r="B195" s="1551"/>
      <c r="C195" s="105" t="s">
        <v>388</v>
      </c>
      <c r="D195" s="106" t="s">
        <v>389</v>
      </c>
      <c r="E195" s="894" t="str">
        <f>dms_060701_StartDateTxt</f>
        <v>1-Jan-2011</v>
      </c>
      <c r="Q195" s="432"/>
      <c r="R195" s="432"/>
      <c r="S195" s="432"/>
      <c r="T195" s="432"/>
      <c r="U195" s="432"/>
      <c r="V195" s="432"/>
      <c r="W195" s="432"/>
    </row>
    <row r="196" spans="1:23" x14ac:dyDescent="0.25">
      <c r="C196" s="104"/>
      <c r="D196" s="104"/>
      <c r="E196" s="890"/>
      <c r="G196" s="104"/>
      <c r="Q196" s="432"/>
      <c r="R196" s="432"/>
      <c r="S196" s="432"/>
      <c r="T196" s="432"/>
      <c r="U196" s="432"/>
      <c r="V196" s="432"/>
      <c r="W196" s="432"/>
    </row>
    <row r="197" spans="1:23" ht="15.75" thickBot="1" x14ac:dyDescent="0.3">
      <c r="B197" s="315"/>
      <c r="C197" s="104"/>
      <c r="P197" s="432"/>
      <c r="Q197" s="432"/>
      <c r="R197" s="432"/>
      <c r="S197" s="432"/>
      <c r="T197" s="432"/>
      <c r="U197" s="432"/>
      <c r="V197" s="432"/>
      <c r="W197" s="432"/>
    </row>
    <row r="198" spans="1:23" ht="22.5" customHeight="1" thickBot="1" x14ac:dyDescent="0.3">
      <c r="A198" s="315"/>
      <c r="B198" s="1551" t="s">
        <v>399</v>
      </c>
      <c r="C198" s="895" t="s">
        <v>400</v>
      </c>
      <c r="D198" s="896" t="s">
        <v>401</v>
      </c>
      <c r="E198" s="896" t="s">
        <v>402</v>
      </c>
      <c r="F198" s="897" t="s">
        <v>403</v>
      </c>
      <c r="Q198" s="432"/>
      <c r="R198" s="432"/>
      <c r="S198" s="432"/>
      <c r="T198" s="432"/>
      <c r="U198" s="432"/>
      <c r="V198" s="432"/>
      <c r="W198" s="432"/>
    </row>
    <row r="199" spans="1:23" ht="22.5" customHeight="1" thickBot="1" x14ac:dyDescent="0.3">
      <c r="A199" s="315"/>
      <c r="B199" s="1551"/>
      <c r="C199" s="105" t="s">
        <v>404</v>
      </c>
      <c r="D199" s="106" t="s">
        <v>405</v>
      </c>
      <c r="E199" s="898" t="s">
        <v>406</v>
      </c>
      <c r="F199" s="118" t="s">
        <v>407</v>
      </c>
      <c r="Q199" s="432"/>
      <c r="R199" s="432"/>
      <c r="S199" s="432"/>
      <c r="T199" s="432"/>
      <c r="U199" s="432"/>
      <c r="V199" s="432"/>
      <c r="W199" s="432"/>
    </row>
    <row r="200" spans="1:23" x14ac:dyDescent="0.25">
      <c r="A200" s="315"/>
      <c r="B200" s="104"/>
      <c r="C200" s="104"/>
      <c r="D200" s="104"/>
      <c r="E200" s="890"/>
      <c r="F200" s="104"/>
      <c r="Q200" s="432"/>
      <c r="R200" s="432"/>
      <c r="S200" s="432"/>
      <c r="T200" s="432"/>
      <c r="U200" s="432"/>
      <c r="V200" s="432"/>
      <c r="W200" s="432"/>
    </row>
    <row r="201" spans="1:23" ht="15.75" thickBot="1" x14ac:dyDescent="0.3">
      <c r="A201" s="315"/>
      <c r="B201" s="315"/>
      <c r="C201" s="104"/>
      <c r="Q201" s="432"/>
      <c r="R201" s="432"/>
      <c r="S201" s="432"/>
      <c r="T201" s="432"/>
      <c r="U201" s="432"/>
      <c r="V201" s="432"/>
      <c r="W201" s="432"/>
    </row>
    <row r="202" spans="1:23" ht="36" customHeight="1" thickBot="1" x14ac:dyDescent="0.3">
      <c r="A202" s="315"/>
      <c r="B202" s="899" t="s">
        <v>408</v>
      </c>
      <c r="C202" s="900" t="s">
        <v>409</v>
      </c>
      <c r="D202" s="119" t="s">
        <v>410</v>
      </c>
      <c r="E202" s="120" t="s">
        <v>411</v>
      </c>
      <c r="Q202" s="432"/>
      <c r="R202" s="432"/>
      <c r="S202" s="432"/>
      <c r="T202" s="432"/>
      <c r="U202" s="432"/>
      <c r="V202" s="432"/>
      <c r="W202" s="432"/>
    </row>
    <row r="204" spans="1:23" x14ac:dyDescent="0.25">
      <c r="B204" s="315"/>
      <c r="C204" s="104"/>
      <c r="P204" s="432"/>
      <c r="Q204" s="432"/>
      <c r="R204" s="432"/>
      <c r="S204" s="432"/>
      <c r="T204" s="432"/>
      <c r="U204" s="432"/>
      <c r="V204" s="432"/>
      <c r="W204" s="432"/>
    </row>
    <row r="205" spans="1:23" s="432" customFormat="1" ht="21.75" customHeight="1" x14ac:dyDescent="0.25">
      <c r="B205" s="901" t="s">
        <v>392</v>
      </c>
      <c r="C205" s="902"/>
      <c r="D205" s="903"/>
      <c r="E205" s="903"/>
      <c r="F205" s="903"/>
      <c r="G205" s="903"/>
      <c r="H205" s="903"/>
      <c r="I205" s="903"/>
      <c r="J205" s="903"/>
      <c r="K205" s="903"/>
      <c r="L205" s="903"/>
      <c r="M205" s="903"/>
      <c r="N205" s="903"/>
      <c r="O205" s="903"/>
    </row>
    <row r="206" spans="1:23" ht="15.75" thickBot="1" x14ac:dyDescent="0.3">
      <c r="B206" s="109"/>
      <c r="C206" s="104"/>
      <c r="F206" s="904"/>
      <c r="K206" s="127"/>
      <c r="P206" s="432"/>
      <c r="Q206" s="432"/>
      <c r="R206" s="432"/>
      <c r="S206" s="432"/>
      <c r="T206" s="432"/>
      <c r="U206" s="432"/>
      <c r="V206" s="432"/>
      <c r="W206" s="432"/>
    </row>
    <row r="207" spans="1:23" ht="15" customHeight="1" thickBot="1" x14ac:dyDescent="0.3">
      <c r="B207" s="1551" t="s">
        <v>391</v>
      </c>
      <c r="C207" s="905" t="s">
        <v>393</v>
      </c>
      <c r="D207" s="906" t="str">
        <f>INDEX(dms_FeederName_1,MATCH(dms_TradingName,dms_TradingName_List))</f>
        <v>CBD</v>
      </c>
      <c r="E207" s="110" t="str">
        <f>INDEX(dms_FeederName_1,MATCH(dms_TradingName,dms_TradingName_List))</f>
        <v>CBD</v>
      </c>
      <c r="F207" s="907" t="str">
        <f>INDEX(dms_FeederName_2,MATCH(dms_TradingName,dms_TradingName_List))</f>
        <v>Urban</v>
      </c>
      <c r="G207" s="111" t="str">
        <f>INDEX(dms_FeederName_2,MATCH(dms_TradingName,dms_TradingName_List))</f>
        <v>Urban</v>
      </c>
      <c r="H207" s="110" t="str">
        <f>INDEX(dms_FeederName_3,MATCH(dms_TradingName,dms_TradingName_List))</f>
        <v>Short rural</v>
      </c>
      <c r="I207" s="110" t="str">
        <f>INDEX(dms_FeederName_3,MATCH(dms_TradingName,dms_TradingName_List))</f>
        <v>Short rural</v>
      </c>
      <c r="J207" s="111" t="str">
        <f>INDEX(dms_FeederName_4,MATCH(dms_TradingName,dms_TradingName_List))</f>
        <v>Long rural</v>
      </c>
      <c r="K207" s="111" t="str">
        <f>INDEX(dms_FeederName_4,MATCH(dms_TradingName,dms_TradingName_List))</f>
        <v>Long rural</v>
      </c>
      <c r="L207" s="110" t="str">
        <f>IF((INDEX(dms_FeederName_5,MATCH(dms_TradingName,dms_TradingName_List))=0),"Network",(INDEX(dms_FeederName_5,MATCH(dms_TradingName,dms_TradingName_List))))</f>
        <v>Network</v>
      </c>
      <c r="M207" s="110" t="str">
        <f>IF((INDEX(dms_FeederName_5,MATCH(dms_TradingName,dms_TradingName_List))=0),"Network",(INDEX(dms_FeederName_5,MATCH(dms_TradingName,dms_TradingName_List))))</f>
        <v>Network</v>
      </c>
      <c r="N207" s="110" t="s">
        <v>394</v>
      </c>
      <c r="O207" s="110" t="s">
        <v>394</v>
      </c>
      <c r="P207" s="432"/>
      <c r="Q207" s="432"/>
      <c r="R207" s="432"/>
      <c r="S207" s="432"/>
      <c r="T207" s="432"/>
      <c r="U207" s="432"/>
      <c r="V207" s="432"/>
      <c r="W207" s="432"/>
    </row>
    <row r="208" spans="1:23" ht="15.75" thickBot="1" x14ac:dyDescent="0.3">
      <c r="B208" s="1551"/>
      <c r="C208" s="908"/>
      <c r="D208" s="112"/>
      <c r="F208" s="126"/>
      <c r="N208" s="101"/>
      <c r="P208" s="432"/>
      <c r="Q208" s="432"/>
      <c r="R208" s="432"/>
      <c r="S208" s="432"/>
      <c r="T208" s="432"/>
      <c r="U208" s="432"/>
      <c r="V208" s="432"/>
      <c r="W208" s="432"/>
    </row>
    <row r="209" spans="1:23" ht="26.25" thickBot="1" x14ac:dyDescent="0.3">
      <c r="B209" s="1551"/>
      <c r="C209" s="905" t="s">
        <v>395</v>
      </c>
      <c r="D209" s="909" t="s">
        <v>396</v>
      </c>
      <c r="E209" s="113" t="s">
        <v>397</v>
      </c>
      <c r="F209" s="910" t="s">
        <v>396</v>
      </c>
      <c r="G209" s="113" t="s">
        <v>397</v>
      </c>
      <c r="H209" s="113" t="s">
        <v>396</v>
      </c>
      <c r="I209" s="113" t="s">
        <v>397</v>
      </c>
      <c r="J209" s="113" t="s">
        <v>396</v>
      </c>
      <c r="K209" s="113" t="s">
        <v>397</v>
      </c>
      <c r="L209" s="113" t="s">
        <v>396</v>
      </c>
      <c r="M209" s="114" t="s">
        <v>397</v>
      </c>
      <c r="N209" s="113" t="s">
        <v>396</v>
      </c>
      <c r="O209" s="114" t="s">
        <v>397</v>
      </c>
      <c r="P209" s="432"/>
      <c r="Q209" s="432"/>
      <c r="R209" s="432"/>
      <c r="S209" s="432"/>
      <c r="T209" s="432"/>
      <c r="U209" s="432"/>
      <c r="V209" s="432"/>
      <c r="W209" s="432"/>
    </row>
    <row r="210" spans="1:23" x14ac:dyDescent="0.25">
      <c r="B210" s="1551"/>
      <c r="C210" s="104"/>
      <c r="D210" s="115" t="s">
        <v>398</v>
      </c>
      <c r="F210" s="126"/>
      <c r="P210" s="432"/>
      <c r="Q210" s="432"/>
      <c r="R210" s="432"/>
      <c r="S210" s="432"/>
      <c r="T210" s="432"/>
      <c r="U210" s="432"/>
      <c r="V210" s="432"/>
      <c r="W210" s="432"/>
    </row>
    <row r="211" spans="1:23" ht="15.75" thickBot="1" x14ac:dyDescent="0.3">
      <c r="A211" s="315"/>
      <c r="B211" s="1551"/>
      <c r="C211" s="104"/>
      <c r="F211" s="126"/>
      <c r="P211" s="432"/>
      <c r="Q211" s="432"/>
      <c r="R211" s="432"/>
      <c r="S211" s="432"/>
      <c r="T211" s="432"/>
      <c r="U211" s="432"/>
      <c r="V211" s="432"/>
      <c r="W211" s="432"/>
    </row>
    <row r="212" spans="1:23" ht="15.75" thickBot="1" x14ac:dyDescent="0.3">
      <c r="A212" s="315"/>
      <c r="B212" s="1551"/>
      <c r="C212" s="905" t="s">
        <v>390</v>
      </c>
      <c r="D212" s="911" t="str">
        <f>INDEX(dms_FeederName_1,MATCH(dms_TradingName,dms_TradingName_List))</f>
        <v>CBD</v>
      </c>
      <c r="E212" s="107" t="str">
        <f>INDEX(dms_FeederName_2,MATCH(dms_TradingName,dms_TradingName_List))</f>
        <v>Urban</v>
      </c>
      <c r="F212" s="107" t="str">
        <f>INDEX(dms_FeederName_3,MATCH(dms_TradingName,dms_TradingName_List))</f>
        <v>Short rural</v>
      </c>
      <c r="G212" s="107" t="str">
        <f>INDEX(dms_FeederName_4,MATCH(dms_TradingName,dms_TradingName_List))</f>
        <v>Long rural</v>
      </c>
      <c r="H212" s="108"/>
      <c r="Q212" s="432"/>
      <c r="R212" s="432"/>
      <c r="S212" s="432"/>
      <c r="T212" s="432"/>
      <c r="U212" s="432"/>
      <c r="V212" s="432"/>
      <c r="W212" s="432"/>
    </row>
    <row r="213" spans="1:23" x14ac:dyDescent="0.25">
      <c r="A213" s="315"/>
      <c r="B213" s="104"/>
      <c r="C213" s="513"/>
      <c r="D213" s="117"/>
      <c r="E213" s="126"/>
      <c r="I213" s="319"/>
      <c r="J213" s="117"/>
      <c r="Q213" s="432"/>
      <c r="R213" s="432"/>
      <c r="S213" s="432"/>
      <c r="T213" s="432"/>
      <c r="U213" s="432"/>
      <c r="V213" s="432"/>
      <c r="W213" s="432"/>
    </row>
    <row r="214" spans="1:23" x14ac:dyDescent="0.25">
      <c r="A214" s="315"/>
      <c r="B214" s="315"/>
      <c r="E214" s="126"/>
      <c r="Q214" s="432"/>
      <c r="R214" s="432"/>
      <c r="S214" s="432"/>
      <c r="T214" s="432"/>
      <c r="U214" s="432"/>
      <c r="V214" s="432"/>
      <c r="W214" s="432"/>
    </row>
    <row r="215" spans="1:23" ht="29.25" customHeight="1" x14ac:dyDescent="0.25">
      <c r="A215" s="315"/>
      <c r="B215" s="901" t="s">
        <v>991</v>
      </c>
      <c r="C215" s="901" t="s">
        <v>991</v>
      </c>
      <c r="D215" s="901"/>
      <c r="E215" s="901"/>
      <c r="F215" s="901"/>
      <c r="G215" s="901"/>
      <c r="H215" s="901"/>
      <c r="I215" s="901"/>
      <c r="J215" s="901"/>
      <c r="K215" s="901"/>
      <c r="L215" s="901"/>
      <c r="M215" s="901"/>
      <c r="Q215" s="432"/>
      <c r="R215" s="432"/>
      <c r="S215" s="432"/>
      <c r="T215" s="432"/>
      <c r="U215" s="432"/>
      <c r="V215" s="432"/>
      <c r="W215" s="432"/>
    </row>
    <row r="216" spans="1:23" ht="15.75" customHeight="1" x14ac:dyDescent="0.25">
      <c r="A216" s="315"/>
      <c r="B216" s="912"/>
      <c r="E216" s="126"/>
      <c r="Q216" s="432"/>
      <c r="R216" s="432"/>
      <c r="S216" s="432"/>
      <c r="T216" s="432"/>
      <c r="U216" s="432"/>
      <c r="V216" s="432"/>
      <c r="W216" s="432"/>
    </row>
    <row r="217" spans="1:23" x14ac:dyDescent="0.25">
      <c r="A217" s="315"/>
      <c r="B217" s="912"/>
      <c r="E217" s="126"/>
      <c r="Q217" s="432"/>
      <c r="R217" s="432"/>
      <c r="S217" s="432"/>
      <c r="T217" s="432"/>
      <c r="U217" s="432"/>
      <c r="V217" s="432"/>
      <c r="W217" s="432"/>
    </row>
    <row r="218" spans="1:23" x14ac:dyDescent="0.25">
      <c r="A218" s="315"/>
      <c r="B218" s="913" t="s">
        <v>412</v>
      </c>
      <c r="C218" s="521" t="s">
        <v>413</v>
      </c>
      <c r="D218" s="521" t="s">
        <v>414</v>
      </c>
      <c r="E218" s="126" t="s">
        <v>415</v>
      </c>
      <c r="Q218" s="432"/>
      <c r="R218" s="432"/>
      <c r="S218" s="432"/>
      <c r="T218" s="432"/>
      <c r="U218" s="432"/>
      <c r="V218" s="432"/>
      <c r="W218" s="432"/>
    </row>
    <row r="219" spans="1:23" x14ac:dyDescent="0.25">
      <c r="A219" s="315"/>
      <c r="B219" s="914"/>
      <c r="C219" s="521" t="s">
        <v>416</v>
      </c>
      <c r="E219" s="126"/>
      <c r="Q219" s="432"/>
      <c r="R219" s="432"/>
      <c r="S219" s="432"/>
      <c r="T219" s="432"/>
      <c r="U219" s="432"/>
      <c r="V219" s="432"/>
      <c r="W219" s="432"/>
    </row>
    <row r="220" spans="1:23" x14ac:dyDescent="0.25">
      <c r="A220" s="315"/>
      <c r="B220" s="912"/>
      <c r="E220" s="126"/>
      <c r="Q220" s="432"/>
      <c r="R220" s="432"/>
      <c r="S220" s="432"/>
      <c r="T220" s="432"/>
      <c r="U220" s="432"/>
      <c r="V220" s="432"/>
      <c r="W220" s="432"/>
    </row>
    <row r="221" spans="1:23" x14ac:dyDescent="0.25">
      <c r="A221" s="315"/>
      <c r="B221" s="912"/>
      <c r="D221" s="121"/>
      <c r="E221" s="915"/>
      <c r="F221" s="121"/>
      <c r="G221" s="121"/>
      <c r="H221" s="121"/>
      <c r="I221" s="122"/>
      <c r="J221" s="121"/>
      <c r="K221" s="121"/>
      <c r="L221" s="121"/>
      <c r="M221" s="123"/>
      <c r="Q221" s="432"/>
      <c r="R221" s="432"/>
      <c r="S221" s="432"/>
      <c r="T221" s="432"/>
      <c r="U221" s="432"/>
      <c r="V221" s="432"/>
      <c r="W221" s="432"/>
    </row>
    <row r="222" spans="1:23" x14ac:dyDescent="0.25">
      <c r="A222" s="315"/>
      <c r="B222" s="916" t="s">
        <v>417</v>
      </c>
      <c r="C222" s="121" t="s">
        <v>418</v>
      </c>
      <c r="D222" s="121" t="s">
        <v>419</v>
      </c>
      <c r="E222" s="915" t="s">
        <v>420</v>
      </c>
      <c r="F222" s="121" t="s">
        <v>421</v>
      </c>
      <c r="G222" s="121" t="s">
        <v>422</v>
      </c>
      <c r="H222" s="121" t="s">
        <v>423</v>
      </c>
      <c r="I222" s="122" t="s">
        <v>424</v>
      </c>
      <c r="J222" s="121" t="s">
        <v>425</v>
      </c>
      <c r="K222" s="121" t="s">
        <v>426</v>
      </c>
      <c r="L222" s="121" t="s">
        <v>427</v>
      </c>
      <c r="M222" s="123"/>
      <c r="Q222" s="432"/>
      <c r="R222" s="432"/>
      <c r="S222" s="432"/>
      <c r="T222" s="432"/>
      <c r="U222" s="432"/>
      <c r="V222" s="432"/>
      <c r="W222" s="432"/>
    </row>
    <row r="223" spans="1:23" x14ac:dyDescent="0.25">
      <c r="A223" s="315"/>
      <c r="B223" s="914"/>
      <c r="C223" s="521" t="s">
        <v>428</v>
      </c>
      <c r="E223" s="126"/>
      <c r="Q223" s="432"/>
      <c r="R223" s="432"/>
      <c r="S223" s="432"/>
      <c r="T223" s="432"/>
      <c r="U223" s="432"/>
      <c r="V223" s="432"/>
      <c r="W223" s="432"/>
    </row>
    <row r="224" spans="1:23" x14ac:dyDescent="0.25">
      <c r="A224" s="315"/>
      <c r="B224" s="912"/>
      <c r="C224" s="488"/>
      <c r="E224" s="126"/>
      <c r="H224" s="488"/>
      <c r="I224" s="25"/>
      <c r="J224" s="488"/>
      <c r="K224" s="488"/>
      <c r="L224" s="26"/>
      <c r="Q224" s="432"/>
      <c r="R224" s="432"/>
      <c r="S224" s="432"/>
      <c r="T224" s="432"/>
      <c r="U224" s="432"/>
      <c r="V224" s="432"/>
      <c r="W224" s="432"/>
    </row>
    <row r="225" spans="1:23" x14ac:dyDescent="0.25">
      <c r="A225" s="315"/>
      <c r="B225" s="917"/>
      <c r="E225" s="126"/>
      <c r="Q225" s="432"/>
      <c r="R225" s="432"/>
      <c r="S225" s="432"/>
      <c r="T225" s="432"/>
      <c r="U225" s="432"/>
      <c r="V225" s="432"/>
      <c r="W225" s="432"/>
    </row>
    <row r="226" spans="1:23" x14ac:dyDescent="0.25">
      <c r="A226" s="315"/>
      <c r="B226" s="916" t="s">
        <v>429</v>
      </c>
      <c r="C226" s="521" t="s">
        <v>430</v>
      </c>
      <c r="D226" s="521" t="s">
        <v>431</v>
      </c>
      <c r="E226" s="126" t="s">
        <v>432</v>
      </c>
      <c r="F226" s="521" t="s">
        <v>433</v>
      </c>
      <c r="G226" s="521" t="s">
        <v>434</v>
      </c>
      <c r="H226" s="521" t="s">
        <v>435</v>
      </c>
      <c r="I226" s="521" t="s">
        <v>436</v>
      </c>
      <c r="J226" s="521" t="s">
        <v>437</v>
      </c>
      <c r="K226" s="521" t="s">
        <v>438</v>
      </c>
      <c r="L226" s="521" t="s">
        <v>439</v>
      </c>
      <c r="M226" s="521" t="s">
        <v>440</v>
      </c>
      <c r="Q226" s="432"/>
      <c r="R226" s="432"/>
      <c r="S226" s="432"/>
      <c r="T226" s="432"/>
      <c r="U226" s="432"/>
      <c r="V226" s="432"/>
      <c r="W226" s="432"/>
    </row>
    <row r="227" spans="1:23" x14ac:dyDescent="0.25">
      <c r="A227" s="315"/>
      <c r="B227" s="402"/>
      <c r="E227" s="126"/>
      <c r="N227" s="315"/>
      <c r="Q227" s="432"/>
      <c r="R227" s="432"/>
      <c r="S227" s="432"/>
      <c r="T227" s="432"/>
      <c r="U227" s="432"/>
      <c r="V227" s="432"/>
      <c r="W227" s="432"/>
    </row>
    <row r="228" spans="1:23" x14ac:dyDescent="0.25">
      <c r="A228" s="315"/>
      <c r="B228" s="315"/>
      <c r="Q228" s="432"/>
      <c r="R228" s="432"/>
      <c r="S228" s="432"/>
      <c r="T228" s="432"/>
      <c r="U228" s="432"/>
      <c r="V228" s="432"/>
      <c r="W228" s="432"/>
    </row>
    <row r="229" spans="1:23" x14ac:dyDescent="0.25">
      <c r="A229" s="315"/>
      <c r="B229" s="315"/>
      <c r="Q229" s="432"/>
      <c r="R229" s="432"/>
      <c r="S229" s="432"/>
      <c r="T229" s="432"/>
      <c r="U229" s="432"/>
      <c r="V229" s="432"/>
      <c r="W229" s="432"/>
    </row>
    <row r="230" spans="1:23" x14ac:dyDescent="0.25">
      <c r="E230" s="918"/>
      <c r="F230" s="25"/>
      <c r="G230" s="488"/>
      <c r="H230" s="488"/>
      <c r="I230" s="26"/>
      <c r="L230" s="432"/>
      <c r="M230" s="432"/>
      <c r="N230" s="432"/>
      <c r="Q230" s="432"/>
      <c r="R230" s="432"/>
      <c r="S230" s="432"/>
      <c r="T230" s="432"/>
      <c r="U230" s="432"/>
      <c r="V230" s="432"/>
      <c r="W230" s="432"/>
    </row>
    <row r="231" spans="1:23" x14ac:dyDescent="0.25">
      <c r="B231" s="488"/>
      <c r="C231" s="488"/>
      <c r="E231" s="126"/>
      <c r="H231" s="488"/>
      <c r="I231" s="25"/>
      <c r="J231" s="488"/>
      <c r="K231" s="488"/>
      <c r="L231" s="26"/>
      <c r="Q231" s="432"/>
      <c r="R231" s="432"/>
      <c r="S231" s="432"/>
      <c r="T231" s="432"/>
      <c r="U231" s="432"/>
      <c r="V231" s="432"/>
      <c r="W231" s="432"/>
    </row>
    <row r="232" spans="1:23" x14ac:dyDescent="0.25">
      <c r="B232" s="488"/>
      <c r="C232" s="488"/>
      <c r="E232" s="126"/>
      <c r="H232" s="488"/>
      <c r="I232" s="25"/>
      <c r="J232" s="488"/>
      <c r="K232" s="488"/>
      <c r="L232" s="26"/>
      <c r="O232" s="432"/>
      <c r="P232" s="432"/>
      <c r="Q232" s="432"/>
      <c r="R232" s="432"/>
      <c r="S232" s="432"/>
      <c r="T232" s="432"/>
      <c r="U232" s="432"/>
      <c r="V232" s="432"/>
      <c r="W232" s="432"/>
    </row>
    <row r="233" spans="1:23" x14ac:dyDescent="0.25">
      <c r="B233" s="488"/>
      <c r="C233" s="488"/>
      <c r="E233" s="126"/>
      <c r="H233" s="488"/>
      <c r="I233" s="25"/>
      <c r="J233" s="488"/>
      <c r="K233" s="488"/>
      <c r="L233" s="26"/>
      <c r="O233" s="432"/>
      <c r="P233" s="432"/>
      <c r="Q233" s="432"/>
      <c r="R233" s="432"/>
      <c r="S233" s="432"/>
      <c r="T233" s="432"/>
      <c r="U233" s="432"/>
      <c r="V233" s="432"/>
      <c r="W233" s="432"/>
    </row>
    <row r="234" spans="1:23" x14ac:dyDescent="0.25">
      <c r="B234" s="488"/>
      <c r="C234" s="488"/>
      <c r="E234" s="126"/>
      <c r="H234" s="488"/>
      <c r="I234" s="25"/>
      <c r="J234" s="488"/>
      <c r="K234" s="488"/>
      <c r="L234" s="26"/>
      <c r="O234" s="432"/>
      <c r="P234" s="432"/>
      <c r="Q234" s="432"/>
      <c r="R234" s="432"/>
      <c r="S234" s="432"/>
      <c r="T234" s="432"/>
      <c r="U234" s="432"/>
      <c r="V234" s="432"/>
      <c r="W234" s="432"/>
    </row>
    <row r="235" spans="1:23" x14ac:dyDescent="0.25">
      <c r="B235" s="488"/>
      <c r="C235" s="488"/>
      <c r="E235" s="126"/>
      <c r="H235" s="488"/>
      <c r="I235" s="25"/>
      <c r="J235" s="488"/>
      <c r="K235" s="488"/>
      <c r="L235" s="26"/>
      <c r="O235" s="432"/>
      <c r="P235" s="432"/>
      <c r="Q235" s="432"/>
      <c r="R235" s="432"/>
      <c r="S235" s="432"/>
      <c r="T235" s="432"/>
      <c r="U235" s="432"/>
      <c r="V235" s="432"/>
      <c r="W235" s="432"/>
    </row>
    <row r="236" spans="1:23" x14ac:dyDescent="0.25">
      <c r="B236" s="488"/>
      <c r="C236" s="488"/>
      <c r="E236" s="126"/>
      <c r="H236" s="488"/>
      <c r="I236" s="25"/>
      <c r="J236" s="488"/>
      <c r="K236" s="488"/>
      <c r="L236" s="26"/>
      <c r="O236" s="432"/>
      <c r="P236" s="432"/>
      <c r="Q236" s="432"/>
      <c r="R236" s="432"/>
      <c r="S236" s="432"/>
      <c r="T236" s="432"/>
      <c r="U236" s="432"/>
      <c r="V236" s="432"/>
      <c r="W236" s="432"/>
    </row>
    <row r="237" spans="1:23" x14ac:dyDescent="0.25">
      <c r="B237" s="488"/>
      <c r="C237" s="488"/>
      <c r="E237" s="126"/>
      <c r="H237" s="488"/>
      <c r="I237" s="25"/>
      <c r="J237" s="488"/>
      <c r="K237" s="488"/>
      <c r="L237" s="26"/>
      <c r="O237" s="432"/>
      <c r="P237" s="432"/>
      <c r="Q237" s="432"/>
      <c r="R237" s="432"/>
      <c r="S237" s="432"/>
      <c r="T237" s="432"/>
      <c r="U237" s="432"/>
      <c r="V237" s="432"/>
      <c r="W237" s="432"/>
    </row>
  </sheetData>
  <mergeCells count="25">
    <mergeCell ref="B194:B195"/>
    <mergeCell ref="B198:B199"/>
    <mergeCell ref="B207:B212"/>
    <mergeCell ref="B134:B149"/>
    <mergeCell ref="B151:B157"/>
    <mergeCell ref="B159:B173"/>
    <mergeCell ref="B175:B176"/>
    <mergeCell ref="B178:B183"/>
    <mergeCell ref="B190:B191"/>
    <mergeCell ref="B117:B131"/>
    <mergeCell ref="B5:B27"/>
    <mergeCell ref="B31:B54"/>
    <mergeCell ref="K32:K34"/>
    <mergeCell ref="AK32:BF32"/>
    <mergeCell ref="K35:K39"/>
    <mergeCell ref="K43:K44"/>
    <mergeCell ref="B64:B77"/>
    <mergeCell ref="B83:B96"/>
    <mergeCell ref="B99:B106"/>
    <mergeCell ref="B109:B114"/>
    <mergeCell ref="BP32:CK32"/>
    <mergeCell ref="AK33:BF33"/>
    <mergeCell ref="BP33:CK33"/>
    <mergeCell ref="AK34:BF34"/>
    <mergeCell ref="BP34:CK34"/>
  </mergeCells>
  <pageMargins left="0.7" right="0.7" top="0.75" bottom="0.75" header="0.3" footer="0.3"/>
  <pageSetup paperSize="9" orientation="portrait" r:id="rId1"/>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7" tint="-0.249977111117893"/>
  </sheetPr>
  <dimension ref="A1:AL92"/>
  <sheetViews>
    <sheetView showGridLines="0" topLeftCell="A13" zoomScale="75" zoomScaleNormal="75" workbookViewId="0">
      <selection activeCell="B2" sqref="B2:E2"/>
    </sheetView>
  </sheetViews>
  <sheetFormatPr defaultColWidth="9.140625" defaultRowHeight="15" x14ac:dyDescent="0.25"/>
  <cols>
    <col min="1" max="1" width="16.7109375" style="521" customWidth="1"/>
    <col min="2" max="2" width="33.85546875" style="488" customWidth="1"/>
    <col min="3" max="3" width="60.5703125" style="488" customWidth="1"/>
    <col min="4" max="4" width="38.85546875" style="521" customWidth="1"/>
    <col min="5" max="5" width="22.85546875" style="126" customWidth="1"/>
    <col min="6" max="6" width="20.28515625" style="521" customWidth="1"/>
    <col min="7" max="7" width="27.28515625" style="521" customWidth="1"/>
    <col min="8" max="8" width="24.7109375" style="488" customWidth="1"/>
    <col min="9" max="9" width="19" style="25" customWidth="1"/>
    <col min="10" max="10" width="25.7109375" style="488" customWidth="1"/>
    <col min="11" max="11" width="23.85546875" style="488" customWidth="1"/>
    <col min="12" max="12" width="23.5703125" style="26" customWidth="1"/>
    <col min="13" max="13" width="23.7109375" style="521" customWidth="1"/>
    <col min="14" max="14" width="21" style="521" customWidth="1"/>
    <col min="15" max="15" width="32.42578125" style="432" customWidth="1"/>
    <col min="16" max="16" width="21" style="432" customWidth="1"/>
    <col min="17" max="17" width="22.28515625" style="432" customWidth="1"/>
    <col min="18" max="18" width="21.28515625" style="432" customWidth="1"/>
    <col min="19" max="19" width="25" style="432" customWidth="1"/>
    <col min="20" max="20" width="24.7109375" style="432" customWidth="1"/>
    <col min="21" max="21" width="22.5703125" style="432" customWidth="1"/>
    <col min="22" max="22" width="23.85546875" style="432" customWidth="1"/>
    <col min="23" max="23" width="22.85546875" style="432" customWidth="1"/>
    <col min="24" max="24" width="26.42578125" style="521" customWidth="1"/>
    <col min="25" max="25" width="37.85546875" style="521" customWidth="1"/>
    <col min="26" max="26" width="21.28515625" style="521" customWidth="1"/>
    <col min="27" max="28" width="27" style="521" customWidth="1"/>
    <col min="29" max="29" width="30.140625" style="521" customWidth="1"/>
    <col min="30" max="30" width="29.28515625" style="521" customWidth="1"/>
    <col min="31" max="31" width="26.42578125" style="521" customWidth="1"/>
    <col min="32" max="32" width="25.140625" style="521" customWidth="1"/>
    <col min="33" max="33" width="28.85546875" style="521" customWidth="1"/>
    <col min="34" max="34" width="28.5703125" style="521" customWidth="1"/>
    <col min="35" max="35" width="25.140625" style="521" customWidth="1"/>
    <col min="36" max="37" width="30" style="521" customWidth="1"/>
    <col min="38" max="38" width="28.5703125" style="521" customWidth="1"/>
    <col min="39" max="16384" width="9.140625" style="521"/>
  </cols>
  <sheetData>
    <row r="1" spans="1:38" ht="51" customHeight="1" x14ac:dyDescent="0.25">
      <c r="B1" s="651" t="s">
        <v>992</v>
      </c>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c r="AI1" s="652"/>
      <c r="AJ1" s="652"/>
      <c r="AK1" s="652"/>
      <c r="AL1" s="652"/>
    </row>
    <row r="2" spans="1:38" ht="24.75" customHeight="1" x14ac:dyDescent="0.25">
      <c r="B2" s="521"/>
      <c r="C2" s="521"/>
      <c r="E2" s="521"/>
      <c r="H2" s="521"/>
      <c r="I2" s="521"/>
      <c r="J2" s="521"/>
      <c r="K2" s="521"/>
      <c r="L2" s="521"/>
      <c r="O2" s="521"/>
      <c r="P2" s="521"/>
      <c r="Q2" s="521"/>
      <c r="R2" s="521"/>
      <c r="S2" s="521"/>
      <c r="T2" s="521"/>
      <c r="U2" s="521"/>
      <c r="V2" s="521"/>
      <c r="W2" s="521"/>
    </row>
    <row r="3" spans="1:38" ht="15" customHeight="1" x14ac:dyDescent="0.25">
      <c r="B3" s="919" t="s">
        <v>68</v>
      </c>
      <c r="C3" s="920"/>
      <c r="D3" s="920"/>
      <c r="E3" s="920"/>
      <c r="F3" s="920"/>
      <c r="G3" s="920"/>
      <c r="H3" s="521"/>
      <c r="I3" s="521"/>
      <c r="J3" s="521"/>
      <c r="K3" s="521"/>
      <c r="L3" s="521"/>
    </row>
    <row r="4" spans="1:38" x14ac:dyDescent="0.25">
      <c r="B4" s="10" t="s">
        <v>69</v>
      </c>
      <c r="C4" s="11">
        <v>42751</v>
      </c>
      <c r="D4" s="12" t="s">
        <v>70</v>
      </c>
      <c r="E4" s="15"/>
      <c r="F4" s="12"/>
      <c r="G4" s="12"/>
      <c r="H4" s="521"/>
      <c r="I4" s="521"/>
      <c r="J4" s="521"/>
      <c r="K4" s="521"/>
      <c r="L4" s="521"/>
    </row>
    <row r="5" spans="1:38" x14ac:dyDescent="0.25">
      <c r="B5" s="10"/>
      <c r="C5" s="11">
        <v>42660</v>
      </c>
      <c r="D5" s="12" t="s">
        <v>71</v>
      </c>
      <c r="E5" s="15"/>
      <c r="F5" s="12"/>
      <c r="G5" s="12"/>
      <c r="H5" s="521"/>
      <c r="I5" s="521"/>
      <c r="J5" s="521"/>
      <c r="K5" s="521"/>
      <c r="L5" s="521"/>
    </row>
    <row r="6" spans="1:38" x14ac:dyDescent="0.25">
      <c r="B6" s="10"/>
      <c r="C6" s="11">
        <v>42767</v>
      </c>
      <c r="D6" s="12" t="s">
        <v>72</v>
      </c>
      <c r="E6" s="15"/>
      <c r="F6" s="12"/>
      <c r="G6" s="12"/>
      <c r="H6" s="521"/>
      <c r="I6" s="521"/>
      <c r="J6" s="521"/>
      <c r="K6" s="521"/>
      <c r="L6" s="521"/>
    </row>
    <row r="7" spans="1:38" ht="15.75" x14ac:dyDescent="0.25">
      <c r="B7" s="13"/>
      <c r="C7" s="11">
        <v>42797</v>
      </c>
      <c r="D7" s="12" t="s">
        <v>73</v>
      </c>
      <c r="E7" s="15"/>
      <c r="F7" s="12"/>
      <c r="G7" s="12"/>
      <c r="H7" s="521"/>
      <c r="I7" s="521"/>
      <c r="J7" s="521"/>
      <c r="K7" s="521"/>
      <c r="L7" s="521"/>
      <c r="Z7" s="1562" t="s">
        <v>74</v>
      </c>
      <c r="AA7" s="1562"/>
      <c r="AB7" s="1562"/>
      <c r="AC7" s="1562"/>
      <c r="AD7" s="1562"/>
      <c r="AE7" s="1562"/>
      <c r="AF7" s="1562"/>
      <c r="AG7" s="1562"/>
      <c r="AH7" s="1562"/>
      <c r="AI7" s="1562"/>
      <c r="AJ7" s="1562"/>
      <c r="AK7" s="1562"/>
    </row>
    <row r="8" spans="1:38" ht="16.5" thickBot="1" x14ac:dyDescent="0.3">
      <c r="B8" s="13"/>
      <c r="C8" s="11">
        <v>43187</v>
      </c>
      <c r="D8" s="12" t="s">
        <v>75</v>
      </c>
      <c r="E8" s="15"/>
      <c r="F8" s="12"/>
      <c r="G8" s="12"/>
      <c r="H8" s="521"/>
      <c r="I8" s="521"/>
      <c r="J8" s="521"/>
      <c r="K8" s="521"/>
      <c r="L8" s="521"/>
      <c r="N8" s="432"/>
      <c r="W8" s="521"/>
      <c r="Z8" s="14"/>
      <c r="AA8" s="14"/>
      <c r="AB8" s="14"/>
      <c r="AC8" s="14"/>
      <c r="AD8" s="14"/>
      <c r="AE8" s="14"/>
      <c r="AF8" s="14"/>
      <c r="AG8" s="14"/>
      <c r="AH8" s="14"/>
      <c r="AI8" s="14"/>
      <c r="AJ8" s="14"/>
      <c r="AK8" s="14"/>
    </row>
    <row r="9" spans="1:38" x14ac:dyDescent="0.25">
      <c r="B9" s="13"/>
      <c r="C9" s="13" t="s">
        <v>76</v>
      </c>
      <c r="D9" s="15">
        <v>5</v>
      </c>
      <c r="E9" s="15"/>
      <c r="F9" s="12"/>
      <c r="G9" s="12"/>
      <c r="H9" s="521"/>
      <c r="I9" s="521"/>
      <c r="J9" s="521"/>
      <c r="K9" s="521"/>
      <c r="L9" s="521"/>
      <c r="N9" s="432"/>
      <c r="W9" s="521"/>
      <c r="Z9" s="1563" t="s">
        <v>77</v>
      </c>
      <c r="AA9" s="1564"/>
      <c r="AB9" s="1564"/>
      <c r="AC9" s="1564"/>
      <c r="AD9" s="16" t="s">
        <v>61</v>
      </c>
      <c r="AE9" s="17" t="s">
        <v>78</v>
      </c>
      <c r="AF9" s="1565" t="s">
        <v>79</v>
      </c>
      <c r="AG9" s="1566"/>
      <c r="AH9" s="1566"/>
      <c r="AI9" s="1566"/>
      <c r="AJ9" s="1567"/>
      <c r="AK9" s="1568"/>
    </row>
    <row r="10" spans="1:38" x14ac:dyDescent="0.25">
      <c r="B10" s="13"/>
      <c r="C10" s="13"/>
      <c r="D10" s="15"/>
      <c r="E10" s="15"/>
      <c r="F10" s="12"/>
      <c r="G10" s="12"/>
      <c r="H10" s="521"/>
      <c r="I10" s="521"/>
      <c r="J10" s="521"/>
      <c r="K10" s="521"/>
      <c r="L10" s="521"/>
      <c r="N10" s="432"/>
      <c r="W10" s="521"/>
      <c r="Z10" s="18"/>
      <c r="AA10" s="19"/>
      <c r="AB10" s="19"/>
      <c r="AC10" s="19"/>
      <c r="AD10" s="20"/>
      <c r="AE10" s="30"/>
      <c r="AF10" s="21"/>
      <c r="AG10" s="22"/>
      <c r="AH10" s="22"/>
      <c r="AI10" s="22"/>
      <c r="AJ10" s="23"/>
      <c r="AK10" s="1569"/>
    </row>
    <row r="11" spans="1:38" ht="15.75" thickBot="1" x14ac:dyDescent="0.3">
      <c r="C11" s="24"/>
      <c r="N11" s="432"/>
      <c r="W11" s="521"/>
      <c r="Z11" s="27" t="s">
        <v>80</v>
      </c>
      <c r="AA11" s="28" t="s">
        <v>81</v>
      </c>
      <c r="AB11" s="28" t="s">
        <v>82</v>
      </c>
      <c r="AC11" s="28" t="s">
        <v>83</v>
      </c>
      <c r="AD11" s="29" t="s">
        <v>84</v>
      </c>
      <c r="AE11" s="30"/>
      <c r="AF11" s="31"/>
      <c r="AG11" s="32"/>
      <c r="AH11" s="32"/>
      <c r="AI11" s="32"/>
      <c r="AJ11" s="33"/>
      <c r="AK11" s="1570"/>
    </row>
    <row r="12" spans="1:38" s="515" customFormat="1" ht="40.5" customHeight="1" thickBot="1" x14ac:dyDescent="0.3">
      <c r="A12" s="921"/>
      <c r="B12" s="1315" t="s">
        <v>85</v>
      </c>
      <c r="C12" s="1316" t="s">
        <v>86</v>
      </c>
      <c r="D12" s="1317" t="s">
        <v>87</v>
      </c>
      <c r="E12" s="922" t="s">
        <v>88</v>
      </c>
      <c r="F12" s="923" t="s">
        <v>89</v>
      </c>
      <c r="G12" s="923" t="s">
        <v>90</v>
      </c>
      <c r="H12" s="923" t="s">
        <v>91</v>
      </c>
      <c r="I12" s="923" t="s">
        <v>92</v>
      </c>
      <c r="J12" s="923" t="s">
        <v>93</v>
      </c>
      <c r="K12" s="924" t="s">
        <v>94</v>
      </c>
      <c r="L12" s="925" t="s">
        <v>95</v>
      </c>
      <c r="M12" s="925" t="s">
        <v>993</v>
      </c>
      <c r="N12" s="926" t="s">
        <v>96</v>
      </c>
      <c r="O12" s="927" t="s">
        <v>97</v>
      </c>
      <c r="P12" s="34" t="s">
        <v>98</v>
      </c>
      <c r="Q12" s="35" t="s">
        <v>99</v>
      </c>
      <c r="R12" s="35" t="s">
        <v>100</v>
      </c>
      <c r="S12" s="35" t="s">
        <v>101</v>
      </c>
      <c r="T12" s="35" t="s">
        <v>102</v>
      </c>
      <c r="U12" s="36" t="s">
        <v>103</v>
      </c>
      <c r="V12" s="36" t="s">
        <v>104</v>
      </c>
      <c r="W12" s="36" t="s">
        <v>105</v>
      </c>
      <c r="X12" s="36" t="s">
        <v>106</v>
      </c>
      <c r="Y12" s="36" t="s">
        <v>107</v>
      </c>
      <c r="Z12" s="38" t="s">
        <v>108</v>
      </c>
      <c r="AA12" s="38" t="s">
        <v>109</v>
      </c>
      <c r="AB12" s="38" t="s">
        <v>110</v>
      </c>
      <c r="AC12" s="38" t="s">
        <v>111</v>
      </c>
      <c r="AD12" s="38" t="s">
        <v>112</v>
      </c>
      <c r="AE12" s="38" t="s">
        <v>113</v>
      </c>
      <c r="AF12" s="38" t="s">
        <v>114</v>
      </c>
      <c r="AG12" s="38" t="s">
        <v>115</v>
      </c>
      <c r="AH12" s="38" t="s">
        <v>116</v>
      </c>
      <c r="AI12" s="38" t="s">
        <v>117</v>
      </c>
      <c r="AJ12" s="37" t="s">
        <v>118</v>
      </c>
      <c r="AK12" s="928" t="s">
        <v>119</v>
      </c>
      <c r="AL12" s="929" t="s">
        <v>1167</v>
      </c>
    </row>
    <row r="13" spans="1:38" x14ac:dyDescent="0.25">
      <c r="B13" s="1307" t="s">
        <v>128</v>
      </c>
      <c r="C13" s="39" t="s">
        <v>129</v>
      </c>
      <c r="D13" s="40">
        <v>19078551685</v>
      </c>
      <c r="E13" s="930" t="s">
        <v>42</v>
      </c>
      <c r="F13" s="41" t="s">
        <v>124</v>
      </c>
      <c r="G13" s="41" t="s">
        <v>36</v>
      </c>
      <c r="H13" s="1311" t="s">
        <v>125</v>
      </c>
      <c r="I13" s="1312" t="s">
        <v>130</v>
      </c>
      <c r="J13" s="1336" t="s">
        <v>1294</v>
      </c>
      <c r="K13" s="931">
        <v>5</v>
      </c>
      <c r="L13" s="1308">
        <v>5</v>
      </c>
      <c r="M13" s="1309">
        <v>5</v>
      </c>
      <c r="N13" s="932" t="s">
        <v>126</v>
      </c>
      <c r="O13" s="42"/>
      <c r="P13" s="45" t="s">
        <v>131</v>
      </c>
      <c r="Q13" s="43" t="s">
        <v>132</v>
      </c>
      <c r="R13" s="43" t="s">
        <v>133</v>
      </c>
      <c r="S13" s="43" t="s">
        <v>49</v>
      </c>
      <c r="T13" s="44">
        <v>5000</v>
      </c>
      <c r="U13" s="45" t="s">
        <v>134</v>
      </c>
      <c r="V13" s="43" t="s">
        <v>135</v>
      </c>
      <c r="W13" s="43" t="s">
        <v>133</v>
      </c>
      <c r="X13" s="43" t="s">
        <v>49</v>
      </c>
      <c r="Y13" s="46">
        <v>5000</v>
      </c>
      <c r="Z13" s="47" t="s">
        <v>122</v>
      </c>
      <c r="AA13" s="48" t="s">
        <v>122</v>
      </c>
      <c r="AB13" s="48" t="s">
        <v>122</v>
      </c>
      <c r="AC13" s="48" t="s">
        <v>122</v>
      </c>
      <c r="AD13" s="48" t="s">
        <v>122</v>
      </c>
      <c r="AE13" s="47" t="s">
        <v>127</v>
      </c>
      <c r="AF13" s="47" t="s">
        <v>80</v>
      </c>
      <c r="AG13" s="48" t="s">
        <v>81</v>
      </c>
      <c r="AH13" s="48" t="s">
        <v>82</v>
      </c>
      <c r="AI13" s="49" t="s">
        <v>123</v>
      </c>
      <c r="AJ13" s="47"/>
      <c r="AK13" s="933" t="s">
        <v>122</v>
      </c>
      <c r="AL13" s="1313" t="str">
        <f>Table1[[#This Row],[dms_TradingName_List]]</f>
        <v>AGN (Albury and Victoria)</v>
      </c>
    </row>
    <row r="14" spans="1:38" x14ac:dyDescent="0.25">
      <c r="B14" s="1306" t="s">
        <v>136</v>
      </c>
      <c r="C14" s="70" t="s">
        <v>137</v>
      </c>
      <c r="D14" s="71">
        <v>19078551685</v>
      </c>
      <c r="E14" s="934" t="s">
        <v>42</v>
      </c>
      <c r="F14" s="50" t="s">
        <v>124</v>
      </c>
      <c r="G14" s="50" t="s">
        <v>36</v>
      </c>
      <c r="H14" s="62" t="s">
        <v>125</v>
      </c>
      <c r="I14" s="1337" t="s">
        <v>130</v>
      </c>
      <c r="J14" s="1336" t="s">
        <v>1294</v>
      </c>
      <c r="K14" s="51">
        <v>5</v>
      </c>
      <c r="L14" s="64">
        <v>5</v>
      </c>
      <c r="M14" s="935">
        <v>5</v>
      </c>
      <c r="N14" s="936" t="s">
        <v>126</v>
      </c>
      <c r="O14" s="63"/>
      <c r="P14" s="53" t="s">
        <v>131</v>
      </c>
      <c r="Q14" s="58" t="s">
        <v>132</v>
      </c>
      <c r="R14" s="58" t="s">
        <v>133</v>
      </c>
      <c r="S14" s="58" t="s">
        <v>49</v>
      </c>
      <c r="T14" s="52">
        <v>5000</v>
      </c>
      <c r="U14" s="53" t="s">
        <v>134</v>
      </c>
      <c r="V14" s="58" t="s">
        <v>135</v>
      </c>
      <c r="W14" s="58" t="s">
        <v>133</v>
      </c>
      <c r="X14" s="58" t="s">
        <v>49</v>
      </c>
      <c r="Y14" s="52">
        <v>5000</v>
      </c>
      <c r="Z14" s="54" t="s">
        <v>122</v>
      </c>
      <c r="AA14" s="66" t="s">
        <v>122</v>
      </c>
      <c r="AB14" s="66" t="s">
        <v>122</v>
      </c>
      <c r="AC14" s="66" t="s">
        <v>122</v>
      </c>
      <c r="AD14" s="66" t="s">
        <v>122</v>
      </c>
      <c r="AE14" s="54" t="s">
        <v>127</v>
      </c>
      <c r="AF14" s="54" t="s">
        <v>80</v>
      </c>
      <c r="AG14" s="66" t="s">
        <v>81</v>
      </c>
      <c r="AH14" s="66" t="s">
        <v>82</v>
      </c>
      <c r="AI14" s="69" t="s">
        <v>123</v>
      </c>
      <c r="AJ14" s="54"/>
      <c r="AK14" s="937" t="s">
        <v>122</v>
      </c>
      <c r="AL14" s="1314" t="str">
        <f>Table1[[#This Row],[dms_TradingName_List]]</f>
        <v>AGN (Albury)</v>
      </c>
    </row>
    <row r="15" spans="1:38" x14ac:dyDescent="0.25">
      <c r="B15" s="1306" t="s">
        <v>138</v>
      </c>
      <c r="C15" s="70" t="s">
        <v>139</v>
      </c>
      <c r="D15" s="71">
        <v>19078551685</v>
      </c>
      <c r="E15" s="934" t="s">
        <v>42</v>
      </c>
      <c r="F15" s="50" t="s">
        <v>124</v>
      </c>
      <c r="G15" s="50" t="s">
        <v>36</v>
      </c>
      <c r="H15" s="62" t="s">
        <v>125</v>
      </c>
      <c r="I15" s="1338" t="s">
        <v>130</v>
      </c>
      <c r="J15" s="1336" t="s">
        <v>1294</v>
      </c>
      <c r="K15" s="51">
        <v>5</v>
      </c>
      <c r="L15" s="64">
        <v>5</v>
      </c>
      <c r="M15" s="935">
        <v>5</v>
      </c>
      <c r="N15" s="936" t="s">
        <v>126</v>
      </c>
      <c r="O15" s="63"/>
      <c r="P15" s="53" t="s">
        <v>131</v>
      </c>
      <c r="Q15" s="58" t="s">
        <v>132</v>
      </c>
      <c r="R15" s="58" t="s">
        <v>133</v>
      </c>
      <c r="S15" s="58" t="s">
        <v>49</v>
      </c>
      <c r="T15" s="52">
        <v>5000</v>
      </c>
      <c r="U15" s="53" t="s">
        <v>134</v>
      </c>
      <c r="V15" s="58" t="s">
        <v>135</v>
      </c>
      <c r="W15" s="58" t="s">
        <v>133</v>
      </c>
      <c r="X15" s="58" t="s">
        <v>49</v>
      </c>
      <c r="Y15" s="52">
        <v>5000</v>
      </c>
      <c r="Z15" s="54" t="s">
        <v>122</v>
      </c>
      <c r="AA15" s="66" t="s">
        <v>122</v>
      </c>
      <c r="AB15" s="66" t="s">
        <v>122</v>
      </c>
      <c r="AC15" s="66" t="s">
        <v>122</v>
      </c>
      <c r="AD15" s="66" t="s">
        <v>122</v>
      </c>
      <c r="AE15" s="54" t="s">
        <v>127</v>
      </c>
      <c r="AF15" s="54" t="s">
        <v>80</v>
      </c>
      <c r="AG15" s="66" t="s">
        <v>81</v>
      </c>
      <c r="AH15" s="66" t="s">
        <v>82</v>
      </c>
      <c r="AI15" s="69" t="s">
        <v>123</v>
      </c>
      <c r="AJ15" s="54"/>
      <c r="AK15" s="937" t="s">
        <v>122</v>
      </c>
      <c r="AL15" s="1314" t="str">
        <f>Table1[[#This Row],[dms_TradingName_List]]</f>
        <v>AGN (Victoria)</v>
      </c>
    </row>
    <row r="16" spans="1:38" x14ac:dyDescent="0.25">
      <c r="B16" s="1306" t="s">
        <v>143</v>
      </c>
      <c r="C16" s="70" t="s">
        <v>144</v>
      </c>
      <c r="D16" s="71" t="s">
        <v>145</v>
      </c>
      <c r="E16" s="934" t="s">
        <v>42</v>
      </c>
      <c r="F16" s="50" t="s">
        <v>124</v>
      </c>
      <c r="G16" s="50" t="s">
        <v>44</v>
      </c>
      <c r="H16" s="62" t="s">
        <v>125</v>
      </c>
      <c r="I16" s="1338" t="s">
        <v>130</v>
      </c>
      <c r="J16" s="1336" t="s">
        <v>1294</v>
      </c>
      <c r="K16" s="51">
        <v>5</v>
      </c>
      <c r="L16" s="64">
        <v>5</v>
      </c>
      <c r="M16" s="935">
        <v>5</v>
      </c>
      <c r="N16" s="936" t="s">
        <v>126</v>
      </c>
      <c r="O16" s="50"/>
      <c r="P16" s="53" t="s">
        <v>140</v>
      </c>
      <c r="Q16" s="58" t="s">
        <v>141</v>
      </c>
      <c r="R16" s="58" t="s">
        <v>142</v>
      </c>
      <c r="S16" s="58" t="s">
        <v>40</v>
      </c>
      <c r="T16" s="52">
        <v>2000</v>
      </c>
      <c r="U16" s="53" t="s">
        <v>146</v>
      </c>
      <c r="V16" s="58"/>
      <c r="W16" s="58" t="s">
        <v>147</v>
      </c>
      <c r="X16" s="58" t="s">
        <v>40</v>
      </c>
      <c r="Y16" s="52">
        <v>1225</v>
      </c>
      <c r="Z16" s="54" t="s">
        <v>122</v>
      </c>
      <c r="AA16" s="66" t="s">
        <v>122</v>
      </c>
      <c r="AB16" s="66" t="s">
        <v>122</v>
      </c>
      <c r="AC16" s="66" t="s">
        <v>122</v>
      </c>
      <c r="AD16" s="66" t="s">
        <v>122</v>
      </c>
      <c r="AE16" s="54" t="s">
        <v>127</v>
      </c>
      <c r="AF16" s="54" t="s">
        <v>80</v>
      </c>
      <c r="AG16" s="66" t="s">
        <v>81</v>
      </c>
      <c r="AH16" s="66" t="s">
        <v>82</v>
      </c>
      <c r="AI16" s="69" t="s">
        <v>123</v>
      </c>
      <c r="AJ16" s="54"/>
      <c r="AK16" s="937" t="s">
        <v>122</v>
      </c>
      <c r="AL16" s="1314" t="str">
        <f>Table1[[#This Row],[dms_TradingName_List]]</f>
        <v>APA GasNet</v>
      </c>
    </row>
    <row r="17" spans="2:38" x14ac:dyDescent="0.25">
      <c r="B17" s="1306" t="s">
        <v>148</v>
      </c>
      <c r="C17" s="70" t="s">
        <v>149</v>
      </c>
      <c r="D17" s="71" t="s">
        <v>150</v>
      </c>
      <c r="E17" s="934" t="s">
        <v>42</v>
      </c>
      <c r="F17" s="50" t="s">
        <v>124</v>
      </c>
      <c r="G17" s="50" t="s">
        <v>36</v>
      </c>
      <c r="H17" s="62" t="s">
        <v>125</v>
      </c>
      <c r="I17" s="1338" t="s">
        <v>130</v>
      </c>
      <c r="J17" s="1336" t="s">
        <v>1294</v>
      </c>
      <c r="K17" s="51">
        <v>5</v>
      </c>
      <c r="L17" s="64">
        <v>5</v>
      </c>
      <c r="M17" s="935">
        <v>5</v>
      </c>
      <c r="N17" s="936" t="s">
        <v>151</v>
      </c>
      <c r="O17" s="63"/>
      <c r="P17" s="53" t="s">
        <v>140</v>
      </c>
      <c r="Q17" s="58" t="s">
        <v>141</v>
      </c>
      <c r="R17" s="58" t="s">
        <v>142</v>
      </c>
      <c r="S17" s="58" t="s">
        <v>40</v>
      </c>
      <c r="T17" s="52">
        <v>2000</v>
      </c>
      <c r="U17" s="68" t="s">
        <v>146</v>
      </c>
      <c r="V17" s="58"/>
      <c r="W17" s="58" t="s">
        <v>147</v>
      </c>
      <c r="X17" s="58" t="s">
        <v>40</v>
      </c>
      <c r="Y17" s="52">
        <v>1225</v>
      </c>
      <c r="Z17" s="54" t="s">
        <v>122</v>
      </c>
      <c r="AA17" s="66" t="s">
        <v>122</v>
      </c>
      <c r="AB17" s="66" t="s">
        <v>122</v>
      </c>
      <c r="AC17" s="66" t="s">
        <v>122</v>
      </c>
      <c r="AD17" s="66" t="s">
        <v>122</v>
      </c>
      <c r="AE17" s="54" t="s">
        <v>127</v>
      </c>
      <c r="AF17" s="54" t="s">
        <v>80</v>
      </c>
      <c r="AG17" s="66" t="s">
        <v>81</v>
      </c>
      <c r="AH17" s="66" t="s">
        <v>82</v>
      </c>
      <c r="AI17" s="69" t="s">
        <v>123</v>
      </c>
      <c r="AJ17" s="54"/>
      <c r="AK17" s="937" t="s">
        <v>122</v>
      </c>
      <c r="AL17" s="1314" t="str">
        <f>Table1[[#This Row],[dms_TradingName_List]]</f>
        <v>AusNet (Gas)</v>
      </c>
    </row>
    <row r="18" spans="2:38" ht="15" customHeight="1" x14ac:dyDescent="0.25">
      <c r="B18" s="1306" t="s">
        <v>152</v>
      </c>
      <c r="C18" s="70" t="s">
        <v>153</v>
      </c>
      <c r="D18" s="71" t="s">
        <v>154</v>
      </c>
      <c r="E18" s="938" t="s">
        <v>42</v>
      </c>
      <c r="F18" s="55" t="s">
        <v>124</v>
      </c>
      <c r="G18" s="55" t="s">
        <v>36</v>
      </c>
      <c r="H18" s="59" t="s">
        <v>125</v>
      </c>
      <c r="I18" s="1338" t="s">
        <v>130</v>
      </c>
      <c r="J18" s="1336" t="s">
        <v>1294</v>
      </c>
      <c r="K18" s="939">
        <v>5</v>
      </c>
      <c r="L18" s="940">
        <v>5</v>
      </c>
      <c r="M18" s="941">
        <v>5</v>
      </c>
      <c r="N18" s="942" t="s">
        <v>126</v>
      </c>
      <c r="O18" s="60"/>
      <c r="P18" s="56" t="s">
        <v>155</v>
      </c>
      <c r="Q18" s="61"/>
      <c r="R18" s="61" t="s">
        <v>156</v>
      </c>
      <c r="S18" s="61" t="s">
        <v>42</v>
      </c>
      <c r="T18" s="72">
        <v>3149</v>
      </c>
      <c r="U18" s="56"/>
      <c r="V18" s="61"/>
      <c r="W18" s="61"/>
      <c r="X18" s="61"/>
      <c r="Y18" s="72"/>
      <c r="Z18" s="57" t="s">
        <v>122</v>
      </c>
      <c r="AA18" s="65" t="s">
        <v>122</v>
      </c>
      <c r="AB18" s="65" t="s">
        <v>122</v>
      </c>
      <c r="AC18" s="65" t="s">
        <v>122</v>
      </c>
      <c r="AD18" s="65" t="s">
        <v>122</v>
      </c>
      <c r="AE18" s="57" t="s">
        <v>127</v>
      </c>
      <c r="AF18" s="57" t="s">
        <v>80</v>
      </c>
      <c r="AG18" s="65" t="s">
        <v>81</v>
      </c>
      <c r="AH18" s="65" t="s">
        <v>82</v>
      </c>
      <c r="AI18" s="67" t="s">
        <v>123</v>
      </c>
      <c r="AJ18" s="57"/>
      <c r="AK18" s="943" t="s">
        <v>122</v>
      </c>
      <c r="AL18" s="1314" t="str">
        <f>Table1[[#This Row],[dms_TradingName_List]]</f>
        <v>Multinet Gas</v>
      </c>
    </row>
    <row r="19" spans="2:38" x14ac:dyDescent="0.25">
      <c r="C19" s="24"/>
      <c r="X19" s="432"/>
    </row>
    <row r="20" spans="2:38" x14ac:dyDescent="0.25">
      <c r="C20" s="24"/>
      <c r="O20" s="1247"/>
      <c r="P20" s="1247"/>
      <c r="Q20" s="1247"/>
      <c r="X20" s="432"/>
    </row>
    <row r="21" spans="2:38" x14ac:dyDescent="0.25">
      <c r="C21" s="24"/>
      <c r="O21" s="1247"/>
      <c r="P21" s="1247"/>
      <c r="Q21" s="1247"/>
      <c r="X21" s="432"/>
    </row>
    <row r="22" spans="2:38" ht="15.75" thickBot="1" x14ac:dyDescent="0.3">
      <c r="C22" s="24"/>
      <c r="H22" s="521"/>
      <c r="I22" s="521"/>
      <c r="J22" s="521"/>
      <c r="K22" s="521"/>
      <c r="O22" s="1247"/>
      <c r="P22" s="1247"/>
      <c r="Q22" s="1247"/>
      <c r="X22" s="432"/>
    </row>
    <row r="23" spans="2:38" ht="47.25" customHeight="1" thickBot="1" x14ac:dyDescent="0.3">
      <c r="B23" s="1560" t="s">
        <v>157</v>
      </c>
      <c r="C23" s="1561"/>
      <c r="D23" s="1561"/>
      <c r="E23" s="1561"/>
      <c r="H23" s="521"/>
      <c r="I23" s="521"/>
      <c r="J23" s="521"/>
      <c r="K23" s="521"/>
      <c r="L23" s="488"/>
      <c r="M23" s="488"/>
      <c r="N23" s="26"/>
      <c r="O23" s="1246"/>
      <c r="P23" s="1246"/>
      <c r="Q23" s="1247"/>
      <c r="X23" s="432"/>
      <c r="Y23" s="432"/>
    </row>
    <row r="24" spans="2:38" ht="31.5" customHeight="1" thickBot="1" x14ac:dyDescent="0.3">
      <c r="B24" s="944" t="s">
        <v>158</v>
      </c>
      <c r="C24" s="945" t="s">
        <v>994</v>
      </c>
      <c r="D24" s="946" t="s">
        <v>159</v>
      </c>
      <c r="E24" s="947" t="s">
        <v>995</v>
      </c>
      <c r="H24" s="521"/>
      <c r="I24" s="521"/>
      <c r="J24" s="521"/>
      <c r="K24" s="521"/>
      <c r="L24" s="74"/>
      <c r="M24" s="74"/>
      <c r="N24" s="75"/>
      <c r="O24" s="521"/>
      <c r="P24" s="521"/>
      <c r="X24" s="432"/>
      <c r="Y24" s="432"/>
    </row>
    <row r="25" spans="2:38" x14ac:dyDescent="0.25">
      <c r="B25" s="948" t="s">
        <v>178</v>
      </c>
      <c r="C25" s="948" t="s">
        <v>996</v>
      </c>
      <c r="D25" s="949" t="str">
        <f>IF(dms_MultiYear_ResponseFlag="yes","NEW HISTORICAL ANNUAL REPORTING","ANNUAL REPORTING")</f>
        <v>NEW HISTORICAL ANNUAL REPORTING</v>
      </c>
      <c r="E25" s="950">
        <v>1</v>
      </c>
      <c r="H25" s="521"/>
      <c r="I25" s="521"/>
      <c r="J25" s="521"/>
      <c r="K25" s="521"/>
      <c r="L25" s="488"/>
      <c r="M25" s="488"/>
      <c r="N25" s="26"/>
      <c r="O25" s="521"/>
      <c r="P25" s="521"/>
      <c r="X25" s="432"/>
      <c r="Y25" s="432"/>
    </row>
    <row r="26" spans="2:38" x14ac:dyDescent="0.25">
      <c r="B26" s="951" t="s">
        <v>189</v>
      </c>
      <c r="C26" s="951" t="s">
        <v>997</v>
      </c>
      <c r="D26" s="952" t="str">
        <f>IF(dms_MultiYear_ResponseFlag="yes","NEW HISTORICAL CATEGORY ANALYSIS","CATEGORY ANALYSIS")</f>
        <v>NEW HISTORICAL CATEGORY ANALYSIS</v>
      </c>
      <c r="E26" s="953">
        <v>1</v>
      </c>
      <c r="H26" s="521"/>
      <c r="I26" s="521"/>
      <c r="J26" s="521"/>
      <c r="K26" s="521"/>
      <c r="L26" s="488"/>
      <c r="M26" s="488"/>
      <c r="N26" s="26"/>
      <c r="O26" s="521"/>
      <c r="P26" s="521"/>
      <c r="X26" s="432"/>
      <c r="Y26" s="432"/>
    </row>
    <row r="27" spans="2:38" x14ac:dyDescent="0.25">
      <c r="B27" s="951" t="s">
        <v>194</v>
      </c>
      <c r="C27" s="951" t="s">
        <v>998</v>
      </c>
      <c r="D27" s="952" t="s">
        <v>195</v>
      </c>
      <c r="E27" s="953">
        <v>5</v>
      </c>
      <c r="H27" s="521"/>
      <c r="I27" s="521"/>
      <c r="J27" s="521"/>
      <c r="K27" s="521"/>
      <c r="L27" s="521"/>
      <c r="M27" s="488"/>
      <c r="N27" s="26"/>
      <c r="O27" s="521"/>
      <c r="P27" s="521"/>
      <c r="X27" s="432"/>
      <c r="Y27" s="432"/>
    </row>
    <row r="28" spans="2:38" x14ac:dyDescent="0.25">
      <c r="B28" s="951" t="s">
        <v>202</v>
      </c>
      <c r="C28" s="951" t="s">
        <v>202</v>
      </c>
      <c r="D28" s="952" t="s">
        <v>202</v>
      </c>
      <c r="E28" s="953">
        <v>5</v>
      </c>
      <c r="H28" s="521"/>
      <c r="I28" s="521"/>
      <c r="J28" s="521"/>
      <c r="K28" s="521"/>
      <c r="L28" s="521"/>
      <c r="M28" s="488"/>
      <c r="N28" s="26"/>
      <c r="O28" s="521"/>
      <c r="P28" s="521"/>
      <c r="X28" s="432"/>
      <c r="Y28" s="432"/>
    </row>
    <row r="29" spans="2:38" x14ac:dyDescent="0.25">
      <c r="B29" s="951" t="s">
        <v>205</v>
      </c>
      <c r="C29" s="951" t="s">
        <v>999</v>
      </c>
      <c r="D29" s="952" t="str">
        <f>IF(dms_MultiYear_ResponseFlag="yes","NEW HISTORICAL ECONOMIC BENCHMARKING","ECONOMIC BENCHMARKING")</f>
        <v>NEW HISTORICAL ECONOMIC BENCHMARKING</v>
      </c>
      <c r="E29" s="954">
        <v>1</v>
      </c>
      <c r="H29" s="521"/>
      <c r="I29" s="521"/>
      <c r="J29" s="521"/>
      <c r="K29" s="521"/>
      <c r="L29" s="521"/>
      <c r="M29" s="488"/>
      <c r="N29" s="26"/>
      <c r="O29" s="521"/>
      <c r="P29" s="521"/>
      <c r="X29" s="432"/>
      <c r="Y29" s="432"/>
    </row>
    <row r="30" spans="2:38" x14ac:dyDescent="0.25">
      <c r="B30" s="951" t="s">
        <v>1000</v>
      </c>
      <c r="C30" s="951" t="s">
        <v>1001</v>
      </c>
      <c r="D30" s="952" t="s">
        <v>1002</v>
      </c>
      <c r="E30" s="954">
        <v>5</v>
      </c>
      <c r="H30" s="521"/>
      <c r="I30" s="521"/>
      <c r="J30" s="521"/>
      <c r="K30" s="521"/>
      <c r="L30" s="521"/>
      <c r="M30" s="488"/>
      <c r="N30" s="26"/>
      <c r="O30" s="521"/>
      <c r="P30" s="521"/>
      <c r="X30" s="432"/>
      <c r="Y30" s="432"/>
    </row>
    <row r="31" spans="2:38" x14ac:dyDescent="0.25">
      <c r="B31" s="951" t="s">
        <v>211</v>
      </c>
      <c r="C31" s="951" t="s">
        <v>1003</v>
      </c>
      <c r="D31" s="952" t="s">
        <v>212</v>
      </c>
      <c r="E31" s="954">
        <v>5</v>
      </c>
      <c r="H31" s="521"/>
      <c r="I31" s="521"/>
      <c r="J31" s="521"/>
      <c r="K31" s="521"/>
      <c r="L31" s="521"/>
      <c r="M31" s="488"/>
      <c r="N31" s="26"/>
      <c r="O31" s="521"/>
      <c r="P31" s="521"/>
      <c r="X31" s="432"/>
      <c r="Y31" s="432"/>
    </row>
    <row r="32" spans="2:38" x14ac:dyDescent="0.25">
      <c r="B32" s="951" t="s">
        <v>218</v>
      </c>
      <c r="C32" s="951" t="s">
        <v>1004</v>
      </c>
      <c r="D32" s="952" t="s">
        <v>219</v>
      </c>
      <c r="E32" s="954">
        <v>5</v>
      </c>
      <c r="H32" s="521"/>
      <c r="I32" s="521"/>
      <c r="J32" s="521"/>
      <c r="K32" s="521"/>
      <c r="L32" s="521"/>
      <c r="M32" s="488"/>
      <c r="N32" s="26"/>
      <c r="O32" s="521"/>
      <c r="P32" s="521"/>
      <c r="X32" s="432"/>
      <c r="Y32" s="432"/>
    </row>
    <row r="33" spans="2:25" x14ac:dyDescent="0.25">
      <c r="B33" s="951" t="s">
        <v>221</v>
      </c>
      <c r="C33" s="951" t="s">
        <v>1005</v>
      </c>
      <c r="D33" s="952" t="s">
        <v>222</v>
      </c>
      <c r="E33" s="954">
        <v>5</v>
      </c>
      <c r="H33" s="521"/>
      <c r="I33" s="521"/>
      <c r="J33" s="521"/>
      <c r="K33" s="521"/>
      <c r="L33" s="521"/>
      <c r="M33" s="488"/>
      <c r="N33" s="26"/>
      <c r="O33" s="521"/>
      <c r="P33" s="521"/>
      <c r="X33" s="432"/>
      <c r="Y33" s="432"/>
    </row>
    <row r="34" spans="2:25" ht="15.75" thickBot="1" x14ac:dyDescent="0.3">
      <c r="B34" s="955" t="s">
        <v>225</v>
      </c>
      <c r="C34" s="955" t="s">
        <v>1006</v>
      </c>
      <c r="D34" s="956" t="s">
        <v>226</v>
      </c>
      <c r="E34" s="957">
        <v>1</v>
      </c>
      <c r="H34" s="521"/>
      <c r="I34" s="521"/>
      <c r="J34" s="521"/>
      <c r="K34" s="521"/>
      <c r="L34" s="521"/>
      <c r="M34" s="488"/>
      <c r="N34" s="26"/>
      <c r="O34" s="521"/>
      <c r="P34" s="521"/>
      <c r="X34" s="432"/>
      <c r="Y34" s="432"/>
    </row>
    <row r="35" spans="2:25" s="432" customFormat="1" x14ac:dyDescent="0.25">
      <c r="E35" s="613"/>
    </row>
    <row r="36" spans="2:25" x14ac:dyDescent="0.25">
      <c r="B36" s="521"/>
      <c r="C36" s="432"/>
      <c r="D36" s="432"/>
      <c r="E36" s="613"/>
      <c r="F36" s="432"/>
      <c r="G36" s="432"/>
      <c r="H36" s="432"/>
      <c r="I36" s="432"/>
      <c r="J36" s="432"/>
      <c r="K36" s="432"/>
      <c r="L36" s="432"/>
      <c r="O36" s="521"/>
      <c r="P36" s="521"/>
      <c r="Q36" s="521"/>
      <c r="R36" s="521"/>
      <c r="S36" s="521"/>
      <c r="T36" s="521"/>
      <c r="U36" s="521"/>
      <c r="V36" s="521"/>
    </row>
    <row r="37" spans="2:25" x14ac:dyDescent="0.25">
      <c r="C37" s="90"/>
      <c r="E37" s="210"/>
    </row>
    <row r="38" spans="2:25" ht="15.75" thickBot="1" x14ac:dyDescent="0.3">
      <c r="B38" s="958" t="s">
        <v>121</v>
      </c>
      <c r="C38" s="563" t="s">
        <v>130</v>
      </c>
      <c r="E38" s="959" t="s">
        <v>1007</v>
      </c>
      <c r="G38" s="959" t="s">
        <v>1008</v>
      </c>
      <c r="H38" s="521"/>
      <c r="I38" s="960" t="s">
        <v>1009</v>
      </c>
    </row>
    <row r="39" spans="2:25" ht="15.75" thickBot="1" x14ac:dyDescent="0.3">
      <c r="B39" s="92" t="s">
        <v>1010</v>
      </c>
      <c r="C39" s="1310" t="s">
        <v>1011</v>
      </c>
      <c r="D39" s="961" t="s">
        <v>451</v>
      </c>
      <c r="E39" s="962" t="str">
        <f ca="1">INDEX(INDIRECT(dms_RPT),dms_PRCP_start_row)</f>
        <v>2001</v>
      </c>
      <c r="F39" s="961" t="s">
        <v>308</v>
      </c>
      <c r="G39" s="962" t="str">
        <f ca="1">INDEX(INDIRECT(dms_RPT),dms_CRCP_start_row)</f>
        <v>2006</v>
      </c>
      <c r="H39" s="963">
        <f>FRCP_y1</f>
        <v>2011</v>
      </c>
      <c r="I39" s="962">
        <f ca="1">INDEX(INDIRECT(dms_RPT),dms_FRCP_start_row)</f>
        <v>2011</v>
      </c>
    </row>
    <row r="40" spans="2:25" x14ac:dyDescent="0.25">
      <c r="B40" s="93" t="s">
        <v>1012</v>
      </c>
      <c r="C40" s="94" t="s">
        <v>1013</v>
      </c>
      <c r="D40" s="964" t="s">
        <v>452</v>
      </c>
      <c r="E40" s="965" t="str">
        <f ca="1">INDEX(INDIRECT(dms_RPT),dms_PRCP_start_row+1)</f>
        <v>2002</v>
      </c>
      <c r="F40" s="964" t="s">
        <v>311</v>
      </c>
      <c r="G40" s="966" t="str">
        <f ca="1">INDEX(INDIRECT(dms_RPT),dms_CRCP_start_row+1)</f>
        <v>2007</v>
      </c>
      <c r="H40" s="967" t="s">
        <v>448</v>
      </c>
      <c r="I40" s="966">
        <f ca="1">INDEX(INDIRECT(dms_RPT),dms_FRCP_start_row+1)</f>
        <v>2012</v>
      </c>
    </row>
    <row r="41" spans="2:25" x14ac:dyDescent="0.25">
      <c r="B41" s="93" t="s">
        <v>1014</v>
      </c>
      <c r="C41" s="94" t="s">
        <v>1015</v>
      </c>
      <c r="D41" s="964" t="s">
        <v>453</v>
      </c>
      <c r="E41" s="966" t="str">
        <f ca="1">INDEX(INDIRECT(dms_RPT),dms_PRCP_start_row+2)</f>
        <v>2003</v>
      </c>
      <c r="F41" s="964" t="s">
        <v>314</v>
      </c>
      <c r="G41" s="966" t="str">
        <f ca="1">INDEX(INDIRECT(dms_RPT),dms_CRCP_start_row+2)</f>
        <v>2008</v>
      </c>
      <c r="H41" s="964" t="s">
        <v>1016</v>
      </c>
      <c r="I41" s="966">
        <f ca="1">INDEX(INDIRECT(dms_RPT),dms_FRCP_start_row+2)</f>
        <v>2013</v>
      </c>
    </row>
    <row r="42" spans="2:25" x14ac:dyDescent="0.25">
      <c r="B42" s="93" t="s">
        <v>1017</v>
      </c>
      <c r="C42" s="94" t="s">
        <v>1018</v>
      </c>
      <c r="D42" s="964" t="s">
        <v>454</v>
      </c>
      <c r="E42" s="966" t="str">
        <f ca="1">INDEX(INDIRECT(dms_RPT),dms_PRCP_start_row+3)</f>
        <v>2004</v>
      </c>
      <c r="F42" s="964" t="s">
        <v>317</v>
      </c>
      <c r="G42" s="966" t="str">
        <f ca="1">INDEX(INDIRECT(dms_RPT),dms_CRCP_start_row+3)</f>
        <v>2009</v>
      </c>
      <c r="H42" s="964" t="s">
        <v>449</v>
      </c>
      <c r="I42" s="966">
        <f ca="1">INDEX(INDIRECT(dms_RPT),dms_FRCP_start_row+3)</f>
        <v>2014</v>
      </c>
    </row>
    <row r="43" spans="2:25" x14ac:dyDescent="0.25">
      <c r="B43" s="93" t="s">
        <v>1019</v>
      </c>
      <c r="C43" s="94" t="s">
        <v>1020</v>
      </c>
      <c r="D43" s="964" t="s">
        <v>455</v>
      </c>
      <c r="E43" s="966" t="str">
        <f ca="1">INDEX(INDIRECT(dms_RPT),dms_PRCP_start_row+4)</f>
        <v>2005</v>
      </c>
      <c r="F43" s="964" t="s">
        <v>320</v>
      </c>
      <c r="G43" s="966">
        <f ca="1">INDEX(INDIRECT(dms_RPT),dms_CRCP_start_row+4)</f>
        <v>2010</v>
      </c>
      <c r="H43" s="964" t="s">
        <v>450</v>
      </c>
      <c r="I43" s="966">
        <f ca="1">INDEX(INDIRECT(dms_RPT),dms_FRCP_start_row+4)</f>
        <v>2015</v>
      </c>
    </row>
    <row r="44" spans="2:25" x14ac:dyDescent="0.25">
      <c r="B44" s="93" t="s">
        <v>1021</v>
      </c>
      <c r="C44" s="94" t="s">
        <v>1022</v>
      </c>
      <c r="D44" s="964" t="s">
        <v>1023</v>
      </c>
      <c r="E44" s="966" t="str">
        <f ca="1">INDEX(INDIRECT(dms_RPT),dms_PRCP_start_row+5)</f>
        <v>2006</v>
      </c>
      <c r="F44" s="964" t="s">
        <v>322</v>
      </c>
      <c r="G44" s="966">
        <f ca="1">INDEX(INDIRECT(dms_RPT),dms_CRCP_start_row+5)</f>
        <v>2011</v>
      </c>
      <c r="H44" s="964" t="s">
        <v>1024</v>
      </c>
      <c r="I44" s="966">
        <f ca="1">INDEX(INDIRECT(dms_RPT),dms_FRCP_start_row+5)</f>
        <v>2016</v>
      </c>
    </row>
    <row r="45" spans="2:25" x14ac:dyDescent="0.25">
      <c r="B45" s="93" t="s">
        <v>1025</v>
      </c>
      <c r="C45" s="94" t="s">
        <v>1026</v>
      </c>
      <c r="D45" s="964" t="s">
        <v>1027</v>
      </c>
      <c r="E45" s="966" t="str">
        <f ca="1">INDEX(INDIRECT(dms_RPT),dms_PRCP_start_row+6)</f>
        <v>2007</v>
      </c>
      <c r="F45" s="964" t="s">
        <v>324</v>
      </c>
      <c r="G45" s="966">
        <f ca="1">INDEX(INDIRECT(dms_RPT),dms_CRCP_start_row+6)</f>
        <v>2012</v>
      </c>
      <c r="H45" s="964" t="s">
        <v>1028</v>
      </c>
      <c r="I45" s="966">
        <f ca="1">INDEX(INDIRECT(dms_RPT),dms_FRCP_start_row+6)</f>
        <v>2017</v>
      </c>
    </row>
    <row r="46" spans="2:25" x14ac:dyDescent="0.25">
      <c r="B46" s="93" t="s">
        <v>1029</v>
      </c>
      <c r="C46" s="94" t="s">
        <v>1030</v>
      </c>
      <c r="D46" s="964" t="s">
        <v>1031</v>
      </c>
      <c r="E46" s="966" t="str">
        <f ca="1">INDEX(INDIRECT(dms_RPT),dms_PRCP_start_row+7)</f>
        <v>2008</v>
      </c>
      <c r="F46" s="964" t="s">
        <v>326</v>
      </c>
      <c r="G46" s="966">
        <f ca="1">INDEX(INDIRECT(dms_RPT),dms_CRCP_start_row+7)</f>
        <v>2013</v>
      </c>
      <c r="H46" s="964" t="s">
        <v>1032</v>
      </c>
      <c r="I46" s="966">
        <f ca="1">INDEX(INDIRECT(dms_RPT),dms_FRCP_start_row+7)</f>
        <v>2018</v>
      </c>
      <c r="J46" s="521"/>
      <c r="K46" s="521"/>
      <c r="L46" s="521"/>
    </row>
    <row r="47" spans="2:25" x14ac:dyDescent="0.25">
      <c r="B47" s="93" t="s">
        <v>1033</v>
      </c>
      <c r="C47" s="94" t="s">
        <v>1034</v>
      </c>
      <c r="D47" s="964" t="s">
        <v>1035</v>
      </c>
      <c r="E47" s="966" t="str">
        <f ca="1">INDEX(INDIRECT(dms_RPT),dms_PRCP_start_row+8)</f>
        <v>2009</v>
      </c>
      <c r="F47" s="964" t="s">
        <v>328</v>
      </c>
      <c r="G47" s="966">
        <f ca="1">INDEX(INDIRECT(dms_RPT),dms_CRCP_start_row+8)</f>
        <v>2014</v>
      </c>
      <c r="H47" s="964" t="s">
        <v>1036</v>
      </c>
      <c r="I47" s="966">
        <f ca="1">INDEX(INDIRECT(dms_RPT),dms_FRCP_start_row+8)</f>
        <v>2019</v>
      </c>
      <c r="J47" s="521"/>
      <c r="K47" s="521"/>
      <c r="L47" s="521"/>
    </row>
    <row r="48" spans="2:25" x14ac:dyDescent="0.25">
      <c r="B48" s="93" t="s">
        <v>1037</v>
      </c>
      <c r="C48" s="94" t="s">
        <v>1038</v>
      </c>
      <c r="D48" s="964" t="s">
        <v>1039</v>
      </c>
      <c r="E48" s="966">
        <f ca="1">INDEX(INDIRECT(dms_RPT),dms_PRCP_start_row+9)</f>
        <v>2010</v>
      </c>
      <c r="F48" s="964" t="s">
        <v>330</v>
      </c>
      <c r="G48" s="966">
        <f ca="1">INDEX(INDIRECT(dms_RPT),dms_CRCP_start_row+9)</f>
        <v>2015</v>
      </c>
      <c r="H48" s="964" t="s">
        <v>1040</v>
      </c>
      <c r="I48" s="966">
        <f ca="1">INDEX(INDIRECT(dms_RPT),dms_FRCP_start_row+9)</f>
        <v>2020</v>
      </c>
      <c r="J48" s="521"/>
      <c r="K48" s="521"/>
      <c r="L48" s="521"/>
    </row>
    <row r="49" spans="2:12" x14ac:dyDescent="0.25">
      <c r="B49" s="93" t="s">
        <v>1041</v>
      </c>
      <c r="C49" s="94" t="s">
        <v>1042</v>
      </c>
      <c r="D49" s="964" t="s">
        <v>1043</v>
      </c>
      <c r="E49" s="966">
        <f ca="1">INDEX(INDIRECT(dms_RPT),dms_PRCP_start_row+10)</f>
        <v>2011</v>
      </c>
      <c r="F49" s="964" t="s">
        <v>332</v>
      </c>
      <c r="G49" s="966">
        <f ca="1">INDEX(INDIRECT(dms_RPT),dms_CRCP_start_row+10)</f>
        <v>2016</v>
      </c>
      <c r="H49" s="964" t="s">
        <v>1044</v>
      </c>
      <c r="I49" s="966">
        <f ca="1">INDEX(INDIRECT(dms_RPT),dms_FRCP_start_row+10)</f>
        <v>2021</v>
      </c>
      <c r="J49" s="521"/>
      <c r="K49" s="521"/>
      <c r="L49" s="521"/>
    </row>
    <row r="50" spans="2:12" x14ac:dyDescent="0.25">
      <c r="B50" s="93" t="s">
        <v>1045</v>
      </c>
      <c r="C50" s="94" t="s">
        <v>1046</v>
      </c>
      <c r="D50" s="964" t="s">
        <v>1047</v>
      </c>
      <c r="E50" s="966">
        <f ca="1">INDEX(INDIRECT(dms_RPT),dms_PRCP_start_row+11)</f>
        <v>2012</v>
      </c>
      <c r="F50" s="964" t="s">
        <v>334</v>
      </c>
      <c r="G50" s="966">
        <f ca="1">INDEX(INDIRECT(dms_RPT),dms_CRCP_start_row+11)</f>
        <v>2017</v>
      </c>
      <c r="H50" s="964" t="s">
        <v>1048</v>
      </c>
      <c r="I50" s="966">
        <f ca="1">INDEX(INDIRECT(dms_RPT),dms_FRCP_start_row+11)</f>
        <v>2022</v>
      </c>
      <c r="J50" s="521"/>
      <c r="K50" s="521"/>
      <c r="L50" s="521"/>
    </row>
    <row r="51" spans="2:12" x14ac:dyDescent="0.25">
      <c r="B51" s="93" t="s">
        <v>1049</v>
      </c>
      <c r="C51" s="94" t="s">
        <v>1050</v>
      </c>
      <c r="D51" s="964" t="s">
        <v>1051</v>
      </c>
      <c r="E51" s="966">
        <f ca="1">INDEX(INDIRECT(dms_RPT),dms_PRCP_start_row+12)</f>
        <v>2013</v>
      </c>
      <c r="F51" s="964" t="s">
        <v>336</v>
      </c>
      <c r="G51" s="966">
        <f ca="1">INDEX(INDIRECT(dms_RPT),dms_CRCP_start_row+12)</f>
        <v>2018</v>
      </c>
      <c r="H51" s="964" t="s">
        <v>1052</v>
      </c>
      <c r="I51" s="966">
        <f ca="1">INDEX(INDIRECT(dms_RPT),dms_FRCP_start_row+12)</f>
        <v>2023</v>
      </c>
      <c r="J51" s="521"/>
      <c r="K51" s="521"/>
      <c r="L51" s="521"/>
    </row>
    <row r="52" spans="2:12" x14ac:dyDescent="0.25">
      <c r="B52" s="93" t="s">
        <v>1053</v>
      </c>
      <c r="C52" s="94" t="s">
        <v>1054</v>
      </c>
      <c r="D52" s="964" t="s">
        <v>1055</v>
      </c>
      <c r="E52" s="966">
        <f ca="1">INDEX(INDIRECT(dms_RPT),dms_PRCP_start_row+13)</f>
        <v>2014</v>
      </c>
      <c r="F52" s="964" t="s">
        <v>338</v>
      </c>
      <c r="G52" s="966">
        <f ca="1">INDEX(INDIRECT(dms_RPT),dms_CRCP_start_row+13)</f>
        <v>2019</v>
      </c>
      <c r="H52" s="964" t="s">
        <v>1056</v>
      </c>
      <c r="I52" s="966">
        <f ca="1">INDEX(INDIRECT(dms_RPT),dms_FRCP_start_row+13)</f>
        <v>2024</v>
      </c>
      <c r="J52" s="521"/>
      <c r="K52" s="521"/>
      <c r="L52" s="521"/>
    </row>
    <row r="53" spans="2:12" x14ac:dyDescent="0.25">
      <c r="B53" s="93" t="s">
        <v>1057</v>
      </c>
      <c r="C53" s="94" t="s">
        <v>1058</v>
      </c>
      <c r="D53" s="964" t="s">
        <v>1059</v>
      </c>
      <c r="E53" s="966">
        <f ca="1">INDEX(INDIRECT(dms_RPT),dms_PRCP_start_row+14)</f>
        <v>2015</v>
      </c>
      <c r="F53" s="964" t="s">
        <v>340</v>
      </c>
      <c r="G53" s="966">
        <f ca="1">INDEX(INDIRECT(dms_RPT),dms_CRCP_start_row+14)</f>
        <v>2020</v>
      </c>
      <c r="H53" s="964" t="s">
        <v>1060</v>
      </c>
      <c r="I53" s="966">
        <f ca="1">INDEX(INDIRECT(dms_RPT),dms_FRCP_start_row+14)</f>
        <v>2025</v>
      </c>
      <c r="J53" s="521"/>
      <c r="K53" s="521"/>
      <c r="L53" s="521"/>
    </row>
    <row r="54" spans="2:12" ht="15.75" thickBot="1" x14ac:dyDescent="0.3">
      <c r="B54" s="93" t="s">
        <v>1061</v>
      </c>
      <c r="C54" s="94" t="s">
        <v>1062</v>
      </c>
      <c r="D54" s="968" t="s">
        <v>1063</v>
      </c>
      <c r="E54" s="969">
        <f ca="1">INDEX(INDIRECT(dms_RPT),dms_PRCP_start_row+15)</f>
        <v>2016</v>
      </c>
      <c r="F54" s="968" t="s">
        <v>1064</v>
      </c>
      <c r="G54" s="969">
        <f ca="1">INDEX(INDIRECT(dms_RPT),dms_CRCP_start_row+15)</f>
        <v>2021</v>
      </c>
      <c r="H54" s="968" t="s">
        <v>1065</v>
      </c>
      <c r="I54" s="969">
        <f ca="1">INDEX(INDIRECT(dms_RPT),dms_FRCP_start_row+15)</f>
        <v>2026</v>
      </c>
      <c r="J54" s="521"/>
      <c r="K54" s="521"/>
      <c r="L54" s="521"/>
    </row>
    <row r="55" spans="2:12" x14ac:dyDescent="0.25">
      <c r="B55" s="93" t="s">
        <v>1066</v>
      </c>
      <c r="C55" s="94" t="s">
        <v>1067</v>
      </c>
      <c r="E55" s="521"/>
      <c r="H55" s="521"/>
      <c r="I55" s="521"/>
      <c r="J55" s="521"/>
      <c r="K55" s="521"/>
      <c r="L55" s="521"/>
    </row>
    <row r="56" spans="2:12" ht="15.75" thickBot="1" x14ac:dyDescent="0.3">
      <c r="B56" s="93" t="s">
        <v>1068</v>
      </c>
      <c r="C56" s="94" t="s">
        <v>1069</v>
      </c>
      <c r="E56" s="521"/>
      <c r="H56" s="521"/>
      <c r="I56" s="521"/>
      <c r="J56" s="521"/>
      <c r="K56" s="521"/>
      <c r="L56" s="521"/>
    </row>
    <row r="57" spans="2:12" x14ac:dyDescent="0.25">
      <c r="B57" s="93" t="s">
        <v>309</v>
      </c>
      <c r="C57" s="94" t="s">
        <v>310</v>
      </c>
      <c r="D57" s="970"/>
      <c r="E57" s="971" t="s">
        <v>1070</v>
      </c>
      <c r="H57" s="521"/>
      <c r="I57" s="521"/>
      <c r="J57" s="521"/>
      <c r="K57" s="521"/>
      <c r="L57" s="521"/>
    </row>
    <row r="58" spans="2:12" x14ac:dyDescent="0.25">
      <c r="B58" s="93" t="s">
        <v>312</v>
      </c>
      <c r="C58" s="94" t="s">
        <v>313</v>
      </c>
      <c r="D58" s="972" t="s">
        <v>345</v>
      </c>
      <c r="E58" s="973">
        <f ca="1">IFERROR(INDEX(INDIRECT(dms_RPT),dms_CRY_start_row),0)</f>
        <v>2011</v>
      </c>
      <c r="H58" s="521"/>
      <c r="I58" s="521"/>
      <c r="J58" s="521"/>
      <c r="K58" s="521"/>
      <c r="L58" s="521"/>
    </row>
    <row r="59" spans="2:12" x14ac:dyDescent="0.25">
      <c r="B59" s="93" t="s">
        <v>315</v>
      </c>
      <c r="C59" s="94" t="s">
        <v>316</v>
      </c>
      <c r="D59" s="972" t="s">
        <v>347</v>
      </c>
      <c r="E59" s="973">
        <f ca="1">IFERROR(INDEX(INDIRECT(dms_RPT),dms_CRY_start_row+1),0)</f>
        <v>2012</v>
      </c>
      <c r="H59" s="521"/>
      <c r="I59" s="521"/>
      <c r="J59" s="521"/>
      <c r="K59" s="521"/>
      <c r="L59" s="521"/>
    </row>
    <row r="60" spans="2:12" x14ac:dyDescent="0.25">
      <c r="B60" s="93" t="s">
        <v>318</v>
      </c>
      <c r="C60" s="94" t="s">
        <v>319</v>
      </c>
      <c r="D60" s="972" t="s">
        <v>349</v>
      </c>
      <c r="E60" s="973">
        <f ca="1">IFERROR(INDEX(INDIRECT(dms_RPT),dms_CRY_start_row+2),0)</f>
        <v>2013</v>
      </c>
      <c r="H60" s="521"/>
      <c r="I60" s="521"/>
      <c r="J60" s="521"/>
      <c r="K60" s="521"/>
      <c r="L60" s="521"/>
    </row>
    <row r="61" spans="2:12" x14ac:dyDescent="0.25">
      <c r="B61" s="93" t="s">
        <v>321</v>
      </c>
      <c r="C61" s="94">
        <v>2010</v>
      </c>
      <c r="D61" s="972" t="s">
        <v>351</v>
      </c>
      <c r="E61" s="973">
        <f ca="1">IFERROR(INDEX(INDIRECT(dms_RPT),dms_CRY_start_row+3),0)</f>
        <v>2014</v>
      </c>
      <c r="H61" s="521"/>
      <c r="I61" s="521"/>
      <c r="J61" s="521"/>
      <c r="K61" s="521"/>
      <c r="L61" s="521"/>
    </row>
    <row r="62" spans="2:12" x14ac:dyDescent="0.25">
      <c r="B62" s="93" t="s">
        <v>323</v>
      </c>
      <c r="C62" s="94">
        <v>2011</v>
      </c>
      <c r="D62" s="972" t="s">
        <v>353</v>
      </c>
      <c r="E62" s="973">
        <f ca="1">IFERROR(INDEX(INDIRECT(dms_RPT),dms_CRY_start_row+4),0)</f>
        <v>2015</v>
      </c>
      <c r="H62" s="521"/>
      <c r="I62" s="521"/>
      <c r="J62" s="521"/>
      <c r="K62" s="521"/>
      <c r="L62" s="521"/>
    </row>
    <row r="63" spans="2:12" x14ac:dyDescent="0.25">
      <c r="B63" s="93" t="s">
        <v>325</v>
      </c>
      <c r="C63" s="94">
        <v>2012</v>
      </c>
      <c r="D63" s="972" t="s">
        <v>355</v>
      </c>
      <c r="E63" s="973">
        <f ca="1">IFERROR(INDEX(INDIRECT(dms_RPT),dms_CRY_start_row+5),0)</f>
        <v>2016</v>
      </c>
      <c r="H63" s="521"/>
      <c r="I63" s="521"/>
      <c r="J63" s="521"/>
      <c r="K63" s="521"/>
      <c r="L63" s="521"/>
    </row>
    <row r="64" spans="2:12" x14ac:dyDescent="0.25">
      <c r="B64" s="93" t="s">
        <v>327</v>
      </c>
      <c r="C64" s="94">
        <v>2013</v>
      </c>
      <c r="D64" s="972" t="s">
        <v>357</v>
      </c>
      <c r="E64" s="973">
        <f ca="1">IFERROR(INDEX(INDIRECT(dms_RPT),dms_CRY_start_row+6),0)</f>
        <v>2017</v>
      </c>
      <c r="H64" s="521"/>
      <c r="I64" s="521"/>
      <c r="J64" s="521"/>
      <c r="K64" s="521"/>
      <c r="L64" s="521"/>
    </row>
    <row r="65" spans="2:12" x14ac:dyDescent="0.25">
      <c r="B65" s="93" t="s">
        <v>329</v>
      </c>
      <c r="C65" s="94">
        <v>2014</v>
      </c>
      <c r="D65" s="972" t="s">
        <v>359</v>
      </c>
      <c r="E65" s="973">
        <f ca="1">IFERROR(INDEX(INDIRECT(dms_RPT),dms_CRY_start_row+7),0)</f>
        <v>2018</v>
      </c>
      <c r="H65" s="521"/>
      <c r="I65" s="521"/>
      <c r="J65" s="521"/>
      <c r="K65" s="521"/>
      <c r="L65" s="521"/>
    </row>
    <row r="66" spans="2:12" x14ac:dyDescent="0.25">
      <c r="B66" s="93" t="s">
        <v>331</v>
      </c>
      <c r="C66" s="94">
        <v>2015</v>
      </c>
      <c r="D66" s="972" t="s">
        <v>361</v>
      </c>
      <c r="E66" s="973">
        <f ca="1">IFERROR(INDEX(INDIRECT(dms_RPT),dms_CRY_start_row+8),0)</f>
        <v>2019</v>
      </c>
      <c r="I66" s="974"/>
    </row>
    <row r="67" spans="2:12" x14ac:dyDescent="0.25">
      <c r="B67" s="93" t="s">
        <v>333</v>
      </c>
      <c r="C67" s="94">
        <v>2016</v>
      </c>
      <c r="D67" s="972" t="s">
        <v>363</v>
      </c>
      <c r="E67" s="973">
        <f ca="1">IFERROR(INDEX(INDIRECT(dms_RPT),dms_CRY_start_row+9),0)</f>
        <v>2020</v>
      </c>
      <c r="I67" s="974"/>
    </row>
    <row r="68" spans="2:12" x14ac:dyDescent="0.25">
      <c r="B68" s="93" t="s">
        <v>335</v>
      </c>
      <c r="C68" s="94">
        <v>2017</v>
      </c>
      <c r="D68" s="972" t="s">
        <v>365</v>
      </c>
      <c r="E68" s="973">
        <f ca="1">IFERROR(INDEX(INDIRECT(dms_RPT),dms_CRY_start_row+10),0)</f>
        <v>2021</v>
      </c>
    </row>
    <row r="69" spans="2:12" x14ac:dyDescent="0.25">
      <c r="B69" s="93" t="s">
        <v>337</v>
      </c>
      <c r="C69" s="94">
        <v>2018</v>
      </c>
      <c r="D69" s="972" t="s">
        <v>367</v>
      </c>
      <c r="E69" s="973">
        <f ca="1">IFERROR(INDEX(INDIRECT(dms_RPT),dms_CRY_start_row+11),0)</f>
        <v>2022</v>
      </c>
    </row>
    <row r="70" spans="2:12" x14ac:dyDescent="0.25">
      <c r="B70" s="93" t="s">
        <v>339</v>
      </c>
      <c r="C70" s="94">
        <v>2019</v>
      </c>
      <c r="D70" s="972" t="s">
        <v>369</v>
      </c>
      <c r="E70" s="973">
        <f ca="1">IFERROR(INDEX(INDIRECT(dms_RPT),dms_CRY_start_row+12),0)</f>
        <v>2023</v>
      </c>
    </row>
    <row r="71" spans="2:12" x14ac:dyDescent="0.25">
      <c r="B71" s="93" t="s">
        <v>341</v>
      </c>
      <c r="C71" s="94">
        <v>2020</v>
      </c>
      <c r="D71" s="972" t="s">
        <v>371</v>
      </c>
      <c r="E71" s="973">
        <f ca="1">IFERROR(INDEX(INDIRECT(dms_RPT),dms_CRY_start_row+13),0)</f>
        <v>2024</v>
      </c>
      <c r="H71" s="521"/>
      <c r="I71" s="521"/>
    </row>
    <row r="72" spans="2:12" x14ac:dyDescent="0.25">
      <c r="B72" s="93" t="s">
        <v>342</v>
      </c>
      <c r="C72" s="94">
        <v>2021</v>
      </c>
      <c r="D72" s="972" t="s">
        <v>372</v>
      </c>
      <c r="E72" s="973">
        <f ca="1">IFERROR(INDEX(INDIRECT(dms_RPT),dms_CRY_start_row+14),0)</f>
        <v>2025</v>
      </c>
      <c r="H72" s="521"/>
      <c r="I72" s="521"/>
    </row>
    <row r="73" spans="2:12" ht="15.75" thickBot="1" x14ac:dyDescent="0.3">
      <c r="B73" s="93" t="s">
        <v>343</v>
      </c>
      <c r="C73" s="94">
        <v>2022</v>
      </c>
      <c r="D73" s="975" t="s">
        <v>373</v>
      </c>
      <c r="E73" s="976">
        <f ca="1">IFERROR(INDEX(INDIRECT(dms_RPT),dms_CRY_start_row+15),0)</f>
        <v>2026</v>
      </c>
      <c r="H73" s="521"/>
      <c r="I73" s="521"/>
    </row>
    <row r="74" spans="2:12" x14ac:dyDescent="0.25">
      <c r="B74" s="93" t="s">
        <v>344</v>
      </c>
      <c r="C74" s="94">
        <v>2023</v>
      </c>
      <c r="E74" s="521"/>
      <c r="H74" s="521"/>
      <c r="I74" s="521"/>
    </row>
    <row r="75" spans="2:12" x14ac:dyDescent="0.25">
      <c r="B75" s="93" t="s">
        <v>346</v>
      </c>
      <c r="C75" s="94">
        <v>2024</v>
      </c>
      <c r="E75" s="521"/>
      <c r="H75" s="521"/>
      <c r="I75" s="521"/>
    </row>
    <row r="76" spans="2:12" x14ac:dyDescent="0.25">
      <c r="B76" s="93" t="s">
        <v>348</v>
      </c>
      <c r="C76" s="94">
        <v>2025</v>
      </c>
      <c r="E76" s="521"/>
      <c r="H76" s="521"/>
      <c r="I76" s="521"/>
    </row>
    <row r="77" spans="2:12" x14ac:dyDescent="0.25">
      <c r="B77" s="93" t="s">
        <v>350</v>
      </c>
      <c r="C77" s="94">
        <v>2026</v>
      </c>
      <c r="E77" s="521"/>
      <c r="H77" s="521"/>
      <c r="I77" s="521"/>
    </row>
    <row r="78" spans="2:12" x14ac:dyDescent="0.25">
      <c r="B78" s="93" t="s">
        <v>352</v>
      </c>
      <c r="C78" s="94">
        <v>2027</v>
      </c>
      <c r="E78" s="521"/>
      <c r="H78" s="521"/>
      <c r="I78" s="521"/>
    </row>
    <row r="79" spans="2:12" x14ac:dyDescent="0.25">
      <c r="B79" s="93" t="s">
        <v>354</v>
      </c>
      <c r="C79" s="94">
        <v>2028</v>
      </c>
      <c r="E79" s="521"/>
      <c r="H79" s="521"/>
      <c r="I79" s="521"/>
    </row>
    <row r="80" spans="2:12" x14ac:dyDescent="0.25">
      <c r="B80" s="93" t="s">
        <v>356</v>
      </c>
      <c r="C80" s="94">
        <v>2029</v>
      </c>
      <c r="E80" s="521"/>
      <c r="H80" s="521"/>
      <c r="I80" s="521"/>
    </row>
    <row r="81" spans="2:22" x14ac:dyDescent="0.25">
      <c r="B81" s="93" t="s">
        <v>358</v>
      </c>
      <c r="C81" s="94">
        <v>2030</v>
      </c>
      <c r="E81" s="521"/>
      <c r="H81" s="521"/>
      <c r="I81" s="521"/>
    </row>
    <row r="82" spans="2:22" x14ac:dyDescent="0.25">
      <c r="B82" s="93" t="s">
        <v>360</v>
      </c>
      <c r="C82" s="94">
        <v>2031</v>
      </c>
      <c r="E82" s="521"/>
      <c r="H82" s="521"/>
      <c r="I82" s="521"/>
    </row>
    <row r="83" spans="2:22" x14ac:dyDescent="0.25">
      <c r="B83" s="93" t="s">
        <v>362</v>
      </c>
      <c r="C83" s="94">
        <v>2032</v>
      </c>
      <c r="E83" s="521"/>
      <c r="H83" s="521"/>
      <c r="I83" s="521"/>
    </row>
    <row r="84" spans="2:22" x14ac:dyDescent="0.25">
      <c r="B84" s="93" t="s">
        <v>364</v>
      </c>
      <c r="C84" s="94">
        <v>2033</v>
      </c>
      <c r="E84" s="521"/>
      <c r="H84" s="521"/>
      <c r="I84" s="521"/>
    </row>
    <row r="85" spans="2:22" x14ac:dyDescent="0.25">
      <c r="B85" s="93" t="s">
        <v>366</v>
      </c>
      <c r="C85" s="94">
        <v>2034</v>
      </c>
      <c r="E85" s="521"/>
      <c r="H85" s="521"/>
      <c r="I85" s="521"/>
    </row>
    <row r="86" spans="2:22" x14ac:dyDescent="0.25">
      <c r="B86" s="93" t="s">
        <v>368</v>
      </c>
      <c r="C86" s="94">
        <v>2035</v>
      </c>
      <c r="E86" s="521"/>
      <c r="H86" s="521"/>
      <c r="I86" s="521"/>
    </row>
    <row r="87" spans="2:22" x14ac:dyDescent="0.25">
      <c r="B87" s="93" t="s">
        <v>370</v>
      </c>
      <c r="C87" s="94">
        <v>2036</v>
      </c>
      <c r="E87" s="521"/>
      <c r="H87" s="521"/>
      <c r="I87" s="521"/>
    </row>
    <row r="88" spans="2:22" ht="15.75" thickBot="1" x14ac:dyDescent="0.3">
      <c r="B88" s="96" t="s">
        <v>1071</v>
      </c>
      <c r="C88" s="97" t="s">
        <v>1072</v>
      </c>
      <c r="E88" s="977"/>
    </row>
    <row r="89" spans="2:22" x14ac:dyDescent="0.25">
      <c r="B89" s="26"/>
      <c r="C89" s="521"/>
      <c r="E89" s="210"/>
      <c r="O89" s="521"/>
      <c r="P89" s="521"/>
      <c r="Q89" s="521"/>
      <c r="R89" s="521"/>
      <c r="S89" s="521"/>
      <c r="T89" s="521"/>
      <c r="U89" s="521"/>
      <c r="V89" s="521"/>
    </row>
    <row r="90" spans="2:22" x14ac:dyDescent="0.25">
      <c r="B90" s="521"/>
      <c r="C90" s="521"/>
      <c r="H90" s="521"/>
      <c r="I90" s="521"/>
      <c r="J90" s="521"/>
      <c r="K90" s="521"/>
      <c r="L90" s="521"/>
      <c r="O90" s="521"/>
      <c r="P90" s="521"/>
      <c r="Q90" s="521"/>
      <c r="R90" s="521"/>
      <c r="S90" s="521"/>
      <c r="T90" s="521"/>
      <c r="U90" s="521"/>
      <c r="V90" s="521"/>
    </row>
    <row r="91" spans="2:22" x14ac:dyDescent="0.25">
      <c r="B91" s="521"/>
      <c r="C91" s="521"/>
      <c r="H91" s="521"/>
      <c r="I91" s="521"/>
      <c r="J91" s="521"/>
      <c r="K91" s="521"/>
      <c r="L91" s="521"/>
      <c r="O91" s="521"/>
      <c r="P91" s="521"/>
      <c r="Q91" s="521"/>
      <c r="R91" s="521"/>
      <c r="S91" s="521"/>
      <c r="T91" s="521"/>
      <c r="U91" s="521"/>
      <c r="V91" s="521"/>
    </row>
    <row r="92" spans="2:22" x14ac:dyDescent="0.25">
      <c r="B92" s="521"/>
      <c r="C92" s="521"/>
      <c r="H92" s="521"/>
      <c r="I92" s="521"/>
      <c r="J92" s="521"/>
      <c r="K92" s="521"/>
      <c r="L92" s="521"/>
    </row>
  </sheetData>
  <mergeCells count="5">
    <mergeCell ref="B23:E23"/>
    <mergeCell ref="Z7:AK7"/>
    <mergeCell ref="Z9:AC9"/>
    <mergeCell ref="AF9:AJ9"/>
    <mergeCell ref="AK9:AK11"/>
  </mergeCells>
  <conditionalFormatting sqref="AK13:AK18">
    <cfRule type="cellIs" dxfId="76" priority="7" operator="equal">
      <formula>"YES"</formula>
    </cfRule>
  </conditionalFormatting>
  <conditionalFormatting sqref="Z13:AE18">
    <cfRule type="containsText" dxfId="75" priority="6" operator="containsText" text="YES">
      <formula>NOT(ISERROR(SEARCH("YES",Z13)))</formula>
    </cfRule>
  </conditionalFormatting>
  <pageMargins left="0.7" right="0.7" top="0.75" bottom="0.75" header="0.3" footer="0.3"/>
  <pageSetup paperSize="9" orientation="portrait" r:id="rId1"/>
  <customProperties>
    <customPr name="_pios_id" r:id="rId2"/>
    <customPr name="EpmWorksheetKeyString_GUID" r:id="rId3"/>
  </customProperties>
  <ignoredErrors>
    <ignoredError sqref="C39:C64 C88" numberStoredAsText="1"/>
  </ignoredErrors>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7" tint="-0.249977111117893"/>
    <pageSetUpPr autoPageBreaks="0"/>
  </sheetPr>
  <dimension ref="A1:CL152"/>
  <sheetViews>
    <sheetView showGridLines="0" topLeftCell="A33" zoomScale="80" zoomScaleNormal="80" workbookViewId="0">
      <selection activeCell="B2" sqref="B2:E2"/>
    </sheetView>
  </sheetViews>
  <sheetFormatPr defaultColWidth="9.140625" defaultRowHeight="15" x14ac:dyDescent="0.25"/>
  <cols>
    <col min="1" max="1" width="36.28515625" style="521" customWidth="1"/>
    <col min="2" max="2" width="44.5703125" style="488" customWidth="1"/>
    <col min="3" max="3" width="24.140625" style="488" customWidth="1"/>
    <col min="4" max="4" width="33.42578125" style="488" customWidth="1"/>
    <col min="5" max="7" width="17.28515625" style="488" customWidth="1"/>
    <col min="8" max="9" width="13.28515625" style="488" customWidth="1"/>
    <col min="10" max="12" width="13.7109375" style="521" customWidth="1"/>
    <col min="13" max="16384" width="9.140625" style="488"/>
  </cols>
  <sheetData>
    <row r="1" spans="1:51" s="521" customFormat="1" ht="51" customHeight="1" x14ac:dyDescent="0.25">
      <c r="B1" s="651" t="s">
        <v>1073</v>
      </c>
      <c r="C1" s="652"/>
      <c r="D1" s="652"/>
      <c r="E1" s="652"/>
      <c r="F1" s="652"/>
      <c r="G1" s="652"/>
      <c r="H1" s="652"/>
      <c r="I1" s="652"/>
      <c r="J1" s="652"/>
      <c r="K1" s="652"/>
    </row>
    <row r="2" spans="1:51" s="521" customFormat="1" ht="24.75" customHeight="1" x14ac:dyDescent="0.25"/>
    <row r="3" spans="1:51" ht="20.25" x14ac:dyDescent="0.3">
      <c r="B3" s="266" t="s">
        <v>621</v>
      </c>
      <c r="C3" s="267" t="s">
        <v>583</v>
      </c>
      <c r="D3" s="268" t="s">
        <v>622</v>
      </c>
      <c r="E3" s="269"/>
      <c r="F3" s="269"/>
      <c r="G3" s="269"/>
      <c r="H3" s="269"/>
      <c r="I3" s="269"/>
      <c r="J3" s="269"/>
      <c r="K3" s="269"/>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21"/>
      <c r="AL3" s="521"/>
      <c r="AM3" s="521"/>
      <c r="AN3" s="521"/>
      <c r="AO3" s="521"/>
      <c r="AP3" s="521"/>
      <c r="AQ3" s="521"/>
      <c r="AR3" s="521"/>
      <c r="AS3" s="521"/>
      <c r="AT3" s="521"/>
      <c r="AU3" s="521"/>
      <c r="AV3" s="521"/>
      <c r="AW3" s="521"/>
      <c r="AX3" s="521"/>
      <c r="AY3" s="521"/>
    </row>
    <row r="4" spans="1:51" ht="15.75" thickBot="1" x14ac:dyDescent="0.3">
      <c r="B4" s="125"/>
      <c r="M4" s="521"/>
      <c r="N4" s="521"/>
      <c r="O4" s="521"/>
      <c r="P4" s="521"/>
      <c r="Q4" s="521"/>
      <c r="R4" s="521"/>
      <c r="S4" s="521"/>
      <c r="T4" s="521"/>
      <c r="U4" s="521"/>
      <c r="V4" s="521"/>
      <c r="W4" s="521"/>
      <c r="X4" s="521"/>
      <c r="Y4" s="521"/>
      <c r="Z4" s="521"/>
      <c r="AA4" s="521"/>
      <c r="AB4" s="521"/>
      <c r="AC4" s="521"/>
      <c r="AD4" s="521"/>
      <c r="AE4" s="521"/>
      <c r="AF4" s="521"/>
      <c r="AG4" s="521"/>
      <c r="AH4" s="521"/>
      <c r="AI4" s="521"/>
      <c r="AJ4" s="521"/>
      <c r="AK4" s="521"/>
      <c r="AL4" s="521"/>
      <c r="AM4" s="521"/>
      <c r="AN4" s="521"/>
      <c r="AO4" s="521"/>
      <c r="AP4" s="521"/>
      <c r="AQ4" s="521"/>
      <c r="AR4" s="521"/>
      <c r="AS4" s="521"/>
      <c r="AT4" s="521"/>
      <c r="AU4" s="521"/>
      <c r="AV4" s="521"/>
      <c r="AW4" s="521"/>
      <c r="AX4" s="521"/>
      <c r="AY4" s="521"/>
    </row>
    <row r="5" spans="1:51" s="521" customFormat="1" x14ac:dyDescent="0.25">
      <c r="B5" s="978" t="s">
        <v>456</v>
      </c>
      <c r="C5" s="403"/>
      <c r="D5" s="979"/>
      <c r="E5" s="980"/>
      <c r="F5" s="403"/>
      <c r="G5" s="403"/>
      <c r="H5" s="403"/>
      <c r="I5" s="476"/>
    </row>
    <row r="6" spans="1:51" s="521" customFormat="1" x14ac:dyDescent="0.25">
      <c r="B6" s="981" t="s">
        <v>457</v>
      </c>
      <c r="C6" s="315"/>
      <c r="D6" s="129"/>
      <c r="E6" s="129"/>
      <c r="F6" s="129"/>
      <c r="G6" s="129"/>
      <c r="H6" s="129"/>
      <c r="I6" s="982"/>
    </row>
    <row r="7" spans="1:51" s="521" customFormat="1" ht="15.75" thickBot="1" x14ac:dyDescent="0.3">
      <c r="B7" s="983" t="s">
        <v>458</v>
      </c>
      <c r="C7" s="130"/>
      <c r="D7" s="984"/>
      <c r="E7" s="984"/>
      <c r="F7" s="984"/>
      <c r="G7" s="984"/>
      <c r="H7" s="984"/>
      <c r="I7" s="985"/>
    </row>
    <row r="8" spans="1:51" s="521" customFormat="1" ht="15.75" thickBot="1" x14ac:dyDescent="0.3">
      <c r="B8" s="986"/>
      <c r="C8" s="986"/>
      <c r="D8" s="986"/>
      <c r="E8" s="986"/>
      <c r="F8" s="986"/>
      <c r="G8" s="986"/>
      <c r="H8" s="986"/>
      <c r="I8" s="986"/>
    </row>
    <row r="9" spans="1:51" s="521" customFormat="1" x14ac:dyDescent="0.25">
      <c r="A9" s="987"/>
      <c r="B9" s="988" t="s">
        <v>1074</v>
      </c>
      <c r="C9" s="989" t="str">
        <f>INDEX(dms_TradingNameFull_List,MATCH(dms_TradingName,dms_TradingName_List))</f>
        <v>AusNet Gas Services</v>
      </c>
      <c r="D9" s="990"/>
      <c r="E9" s="991" t="s">
        <v>1075</v>
      </c>
      <c r="F9" s="992"/>
      <c r="G9" s="992"/>
      <c r="H9" s="992"/>
      <c r="I9" s="993"/>
    </row>
    <row r="10" spans="1:51" s="521" customFormat="1" x14ac:dyDescent="0.25">
      <c r="A10" s="315"/>
      <c r="B10" s="988" t="s">
        <v>1076</v>
      </c>
      <c r="C10" s="989" t="str">
        <f>dms_TradingName</f>
        <v>AusNet (Gas)</v>
      </c>
      <c r="D10" s="990"/>
      <c r="E10" s="991"/>
      <c r="F10" s="992"/>
      <c r="G10" s="992"/>
      <c r="H10" s="992"/>
      <c r="I10" s="993"/>
    </row>
    <row r="11" spans="1:51" s="521" customFormat="1" x14ac:dyDescent="0.25">
      <c r="A11" s="994" t="s">
        <v>1077</v>
      </c>
      <c r="B11" s="995" t="s">
        <v>1078</v>
      </c>
      <c r="C11" s="996" t="s">
        <v>178</v>
      </c>
      <c r="D11" s="997" t="s">
        <v>474</v>
      </c>
      <c r="E11" s="998"/>
      <c r="F11" s="999"/>
      <c r="G11" s="999"/>
      <c r="H11" s="999"/>
      <c r="I11" s="1000"/>
    </row>
    <row r="12" spans="1:51" s="521" customFormat="1" x14ac:dyDescent="0.25">
      <c r="A12" s="1571" t="s">
        <v>1079</v>
      </c>
      <c r="B12" s="988" t="s">
        <v>459</v>
      </c>
      <c r="C12" s="1001" t="str">
        <f>dms_Selected_Source</f>
        <v>Reporting</v>
      </c>
      <c r="D12" s="991" t="s">
        <v>1080</v>
      </c>
      <c r="E12" s="1002"/>
      <c r="F12" s="992"/>
      <c r="G12" s="992"/>
      <c r="H12" s="992"/>
      <c r="I12" s="993"/>
    </row>
    <row r="13" spans="1:51" s="521" customFormat="1" x14ac:dyDescent="0.25">
      <c r="A13" s="1572"/>
      <c r="B13" s="988" t="s">
        <v>1081</v>
      </c>
      <c r="C13" s="1001" t="str">
        <f>dms_Selected_Quality</f>
        <v>Consolidated</v>
      </c>
      <c r="D13" s="991" t="s">
        <v>1082</v>
      </c>
      <c r="E13" s="1574"/>
      <c r="F13" s="1574"/>
      <c r="G13" s="1574"/>
      <c r="H13" s="1574"/>
      <c r="I13" s="1575"/>
    </row>
    <row r="14" spans="1:51" s="521" customFormat="1" x14ac:dyDescent="0.25">
      <c r="A14" s="1572"/>
      <c r="B14" s="988" t="s">
        <v>1083</v>
      </c>
      <c r="C14" s="1001" t="str">
        <f>dms_Selected_Status</f>
        <v>Confidential</v>
      </c>
      <c r="D14" s="991" t="s">
        <v>1084</v>
      </c>
      <c r="E14" s="1003"/>
      <c r="F14" s="1003"/>
      <c r="G14" s="1003"/>
      <c r="H14" s="1003"/>
      <c r="I14" s="1004"/>
    </row>
    <row r="15" spans="1:51" s="521" customFormat="1" ht="39" customHeight="1" x14ac:dyDescent="0.25">
      <c r="A15" s="1572"/>
      <c r="B15" s="1005" t="s">
        <v>1085</v>
      </c>
      <c r="C15" s="1576">
        <f>dms_Amendment_Text</f>
        <v>0</v>
      </c>
      <c r="D15" s="1576"/>
      <c r="E15" s="1576"/>
      <c r="F15" s="1006" t="s">
        <v>1086</v>
      </c>
      <c r="G15" s="1003"/>
      <c r="H15" s="1003"/>
      <c r="I15" s="1004"/>
    </row>
    <row r="16" spans="1:51" s="521" customFormat="1" ht="15" customHeight="1" thickBot="1" x14ac:dyDescent="0.3">
      <c r="A16" s="1573"/>
      <c r="B16" s="1007" t="s">
        <v>1087</v>
      </c>
      <c r="C16" s="1008" t="str">
        <f>dms_Typed_Submission_Date</f>
        <v>30/11/20</v>
      </c>
      <c r="D16" s="1009" t="s">
        <v>461</v>
      </c>
      <c r="E16" s="1010"/>
      <c r="F16" s="1011"/>
      <c r="G16" s="1011"/>
      <c r="H16" s="1011"/>
      <c r="I16" s="1012"/>
    </row>
    <row r="17" spans="1:11" s="521" customFormat="1" ht="15" customHeight="1" thickBot="1" x14ac:dyDescent="0.3">
      <c r="B17" s="488"/>
      <c r="C17" s="488"/>
      <c r="D17" s="488"/>
      <c r="E17" s="488"/>
      <c r="F17" s="488"/>
      <c r="G17" s="488"/>
      <c r="H17" s="488"/>
      <c r="I17" s="488"/>
    </row>
    <row r="18" spans="1:11" s="521" customFormat="1" ht="15.75" thickBot="1" x14ac:dyDescent="0.3">
      <c r="A18" s="994" t="s">
        <v>1088</v>
      </c>
      <c r="B18" s="1013" t="s">
        <v>462</v>
      </c>
      <c r="C18" s="1014" t="s">
        <v>463</v>
      </c>
      <c r="D18" s="1015"/>
      <c r="E18" s="1015"/>
      <c r="F18" s="1015"/>
      <c r="G18" s="1015"/>
      <c r="H18" s="1015"/>
      <c r="I18" s="1016"/>
      <c r="J18" s="130"/>
      <c r="K18" s="130"/>
    </row>
    <row r="19" spans="1:11" s="521" customFormat="1" x14ac:dyDescent="0.25">
      <c r="A19" s="1577" t="s">
        <v>1089</v>
      </c>
      <c r="B19" s="1017" t="s">
        <v>789</v>
      </c>
      <c r="C19" s="164" t="str">
        <f>dms_Selected_Quality</f>
        <v>Consolidated</v>
      </c>
      <c r="D19" s="158" t="s">
        <v>790</v>
      </c>
      <c r="E19" s="159" t="s">
        <v>791</v>
      </c>
      <c r="F19" s="160"/>
      <c r="G19" s="160"/>
      <c r="H19" s="160"/>
      <c r="I19" s="160"/>
      <c r="J19" s="161"/>
      <c r="K19" s="162"/>
    </row>
    <row r="20" spans="1:11" s="74" customFormat="1" x14ac:dyDescent="0.25">
      <c r="A20" s="1578"/>
      <c r="B20" s="1018" t="s">
        <v>15</v>
      </c>
      <c r="C20" s="139" t="str">
        <f>INDEX(dms_Sector_List,MATCH(dms_TradingName,dms_TradingName_List))</f>
        <v>Gas</v>
      </c>
      <c r="D20" s="135" t="s">
        <v>464</v>
      </c>
      <c r="E20" s="136" t="s">
        <v>465</v>
      </c>
      <c r="F20" s="137"/>
      <c r="G20" s="137"/>
      <c r="H20" s="137"/>
      <c r="I20" s="137"/>
      <c r="J20" s="138"/>
      <c r="K20" s="155"/>
    </row>
    <row r="21" spans="1:11" s="521" customFormat="1" x14ac:dyDescent="0.25">
      <c r="A21" s="1578"/>
      <c r="B21" s="1018" t="s">
        <v>16</v>
      </c>
      <c r="C21" s="134" t="str">
        <f>INDEX(dms_Segment_List,MATCH(dms_TradingName,dms_TradingName_List))</f>
        <v>Distribution</v>
      </c>
      <c r="D21" s="135" t="s">
        <v>466</v>
      </c>
      <c r="E21" s="136" t="s">
        <v>467</v>
      </c>
      <c r="F21" s="137"/>
      <c r="G21" s="137"/>
      <c r="H21" s="137"/>
      <c r="I21" s="137"/>
      <c r="J21" s="138"/>
      <c r="K21" s="155"/>
    </row>
    <row r="22" spans="1:11" s="521" customFormat="1" x14ac:dyDescent="0.25">
      <c r="A22" s="1578"/>
      <c r="B22" s="1018" t="s">
        <v>468</v>
      </c>
      <c r="C22" s="139" t="str">
        <f>dms_RYE_result</f>
        <v>2019</v>
      </c>
      <c r="D22" s="135" t="s">
        <v>469</v>
      </c>
      <c r="E22" s="136" t="s">
        <v>470</v>
      </c>
      <c r="F22" s="137"/>
      <c r="G22" s="137"/>
      <c r="H22" s="137"/>
      <c r="I22" s="137"/>
      <c r="J22" s="138"/>
      <c r="K22" s="155"/>
    </row>
    <row r="23" spans="1:11" s="521" customFormat="1" x14ac:dyDescent="0.25">
      <c r="A23" s="1578"/>
      <c r="B23" s="1018" t="s">
        <v>471</v>
      </c>
      <c r="C23" s="134" t="str">
        <f>INDEX(dms_RPT_List,MATCH(dms_TradingName,dms_TradingName_List))</f>
        <v>Calendar</v>
      </c>
      <c r="D23" s="135" t="s">
        <v>472</v>
      </c>
      <c r="E23" s="136" t="s">
        <v>473</v>
      </c>
      <c r="F23" s="137"/>
      <c r="G23" s="137"/>
      <c r="H23" s="137"/>
      <c r="I23" s="137"/>
      <c r="J23" s="138"/>
      <c r="K23" s="155"/>
    </row>
    <row r="24" spans="1:11" x14ac:dyDescent="0.25">
      <c r="A24" s="1578"/>
      <c r="B24" s="1018" t="s">
        <v>475</v>
      </c>
      <c r="C24" s="142" t="s">
        <v>199</v>
      </c>
      <c r="D24" s="135" t="s">
        <v>476</v>
      </c>
      <c r="E24" s="143" t="s">
        <v>477</v>
      </c>
      <c r="F24" s="144"/>
      <c r="G24" s="144"/>
      <c r="H24" s="144"/>
      <c r="I24" s="144"/>
      <c r="J24" s="144"/>
      <c r="K24" s="145"/>
    </row>
    <row r="25" spans="1:11" s="521" customFormat="1" x14ac:dyDescent="0.25">
      <c r="A25" s="1578"/>
      <c r="B25" s="1018" t="s">
        <v>478</v>
      </c>
      <c r="C25" s="134" t="s">
        <v>234</v>
      </c>
      <c r="D25" s="140" t="s">
        <v>479</v>
      </c>
      <c r="E25" s="141" t="s">
        <v>480</v>
      </c>
      <c r="F25" s="137"/>
      <c r="G25" s="137"/>
      <c r="H25" s="137"/>
      <c r="I25" s="137"/>
      <c r="J25" s="138"/>
      <c r="K25" s="155"/>
    </row>
    <row r="26" spans="1:11" s="521" customFormat="1" ht="15.75" customHeight="1" thickBot="1" x14ac:dyDescent="0.3">
      <c r="A26" s="1579"/>
      <c r="B26" s="1019" t="s">
        <v>481</v>
      </c>
      <c r="C26" s="146" t="str">
        <f>INDEX(dms_JurisdictionList,MATCH(dms_TradingName,dms_TradingName_List))</f>
        <v>Vic</v>
      </c>
      <c r="D26" s="147" t="s">
        <v>482</v>
      </c>
      <c r="E26" s="148" t="s">
        <v>483</v>
      </c>
      <c r="F26" s="149"/>
      <c r="G26" s="149"/>
      <c r="H26" s="149"/>
      <c r="I26" s="149"/>
      <c r="J26" s="150"/>
      <c r="K26" s="151"/>
    </row>
    <row r="27" spans="1:11" s="521" customFormat="1" ht="22.5" customHeight="1" thickBot="1" x14ac:dyDescent="0.3">
      <c r="A27" s="1580" t="s">
        <v>1090</v>
      </c>
      <c r="B27" s="1020" t="s">
        <v>1091</v>
      </c>
      <c r="C27" s="270"/>
      <c r="D27" s="270"/>
      <c r="E27" s="1021"/>
      <c r="F27" s="1022"/>
      <c r="G27" s="1022"/>
      <c r="H27" s="1022"/>
      <c r="I27" s="1022"/>
      <c r="J27" s="1022"/>
      <c r="K27" s="1023"/>
    </row>
    <row r="28" spans="1:11" s="432" customFormat="1" ht="22.5" customHeight="1" x14ac:dyDescent="0.25">
      <c r="A28" s="1581"/>
      <c r="B28" s="1024" t="s">
        <v>1092</v>
      </c>
      <c r="C28" s="1025">
        <f>IFERROR(CRY,"NO")</f>
        <v>2011</v>
      </c>
      <c r="D28" s="1026"/>
      <c r="E28" s="1027"/>
      <c r="F28" s="1027"/>
      <c r="G28" s="1027"/>
      <c r="H28" s="1027"/>
      <c r="I28" s="1027"/>
      <c r="J28" s="1027"/>
      <c r="K28" s="1028"/>
    </row>
    <row r="29" spans="1:11" s="521" customFormat="1" x14ac:dyDescent="0.25">
      <c r="A29" s="1581"/>
      <c r="B29" s="1029" t="s">
        <v>484</v>
      </c>
      <c r="C29" s="142">
        <f>IFERROR(IF(dms_RPT="calendar",CRY-1,LEFT(CRY,4)),"CRY not present")</f>
        <v>2010</v>
      </c>
      <c r="D29" s="1030" t="s">
        <v>485</v>
      </c>
      <c r="E29" s="1031" t="s">
        <v>486</v>
      </c>
      <c r="F29" s="1030"/>
      <c r="G29" s="1030"/>
      <c r="H29" s="1030"/>
      <c r="I29" s="1030"/>
      <c r="J29" s="1032"/>
      <c r="K29" s="1033"/>
    </row>
    <row r="30" spans="1:11" s="521" customFormat="1" x14ac:dyDescent="0.25">
      <c r="A30" s="1581"/>
      <c r="B30" s="1034" t="s">
        <v>487</v>
      </c>
      <c r="C30" s="134" t="str">
        <f>INDEX(dms_RPTMonth_List,MATCH(dms_TradingName,dms_TradingName_List))</f>
        <v>December</v>
      </c>
      <c r="D30" s="140" t="s">
        <v>488</v>
      </c>
      <c r="E30" s="135" t="s">
        <v>489</v>
      </c>
      <c r="F30" s="140"/>
      <c r="G30" s="140"/>
      <c r="H30" s="140"/>
      <c r="I30" s="140"/>
      <c r="J30" s="1035"/>
      <c r="K30" s="1036"/>
    </row>
    <row r="31" spans="1:11" s="521" customFormat="1" ht="14.25" customHeight="1" x14ac:dyDescent="0.25">
      <c r="A31" s="1581"/>
      <c r="B31" s="1034" t="s">
        <v>490</v>
      </c>
      <c r="C31" s="154" t="str">
        <f>IF(dms_SingleYearModel="yes",CONCATENATE(dms_RPTMonth)&amp;" "&amp;VALUE((LEFT(CRY,2))&amp;RIGHT(CRY,2)),CONCATENATE(dms_RPTMonth)&amp;" "&amp;dms_DollarReal_year)</f>
        <v>December 2011</v>
      </c>
      <c r="D31" s="135" t="s">
        <v>491</v>
      </c>
      <c r="E31" s="135" t="s">
        <v>1093</v>
      </c>
      <c r="F31" s="140"/>
      <c r="G31" s="140"/>
      <c r="H31" s="140"/>
      <c r="I31" s="140"/>
      <c r="J31" s="1035"/>
      <c r="K31" s="1036"/>
    </row>
    <row r="32" spans="1:11" s="521" customFormat="1" ht="24" customHeight="1" thickBot="1" x14ac:dyDescent="0.3">
      <c r="A32" s="1582"/>
      <c r="B32" s="1037" t="s">
        <v>492</v>
      </c>
      <c r="C32" s="1038" t="str">
        <f>IF(dms_SingleYearModel="yes",CONCATENATE(dms_RPTMonth)&amp;" "&amp;VALUE((LEFT(CRY,2))&amp;RIGHT(CRY,2)),CONCATENATE(dms_RPTMonth)&amp;" "&amp;dms_Previous_DollarReal_year)</f>
        <v>December 2011</v>
      </c>
      <c r="D32" s="147" t="s">
        <v>493</v>
      </c>
      <c r="E32" s="147" t="s">
        <v>494</v>
      </c>
      <c r="F32" s="1039"/>
      <c r="G32" s="1039"/>
      <c r="H32" s="1039"/>
      <c r="I32" s="1039"/>
      <c r="J32" s="1040"/>
      <c r="K32" s="1041"/>
    </row>
    <row r="33" spans="1:90" s="521" customFormat="1" ht="24" customHeight="1" thickBot="1" x14ac:dyDescent="0.3">
      <c r="B33" s="1042" t="s">
        <v>512</v>
      </c>
      <c r="C33" s="1043"/>
      <c r="D33" s="1043"/>
      <c r="E33" s="1043"/>
      <c r="F33" s="1044"/>
      <c r="G33" s="1044"/>
      <c r="H33" s="1044"/>
      <c r="I33" s="1044"/>
      <c r="J33" s="1044"/>
      <c r="K33" s="1045"/>
      <c r="AL33" s="1539"/>
      <c r="AM33" s="1539"/>
      <c r="AN33" s="1539"/>
      <c r="AO33" s="1539"/>
      <c r="AP33" s="1539"/>
      <c r="AQ33" s="1539"/>
      <c r="AR33" s="1539"/>
      <c r="AS33" s="1539"/>
      <c r="AT33" s="1539"/>
      <c r="AU33" s="1539"/>
      <c r="AV33" s="1539"/>
      <c r="AW33" s="1539"/>
      <c r="AX33" s="1539"/>
      <c r="AY33" s="1539"/>
      <c r="AZ33" s="1539"/>
      <c r="BA33" s="1539"/>
      <c r="BB33" s="1539"/>
      <c r="BC33" s="1539"/>
      <c r="BD33" s="1539"/>
      <c r="BE33" s="1539"/>
      <c r="BF33" s="1539"/>
      <c r="BG33" s="1539"/>
      <c r="BQ33" s="1539"/>
      <c r="BR33" s="1539"/>
      <c r="BS33" s="1539"/>
      <c r="BT33" s="1539"/>
      <c r="BU33" s="1539"/>
      <c r="BV33" s="1539"/>
      <c r="BW33" s="1539"/>
      <c r="BX33" s="1539"/>
      <c r="BY33" s="1539"/>
      <c r="BZ33" s="1539"/>
      <c r="CA33" s="1539"/>
      <c r="CB33" s="1539"/>
      <c r="CC33" s="1539"/>
      <c r="CD33" s="1539"/>
      <c r="CE33" s="1539"/>
      <c r="CF33" s="1539"/>
      <c r="CG33" s="1539"/>
      <c r="CH33" s="1539"/>
      <c r="CI33" s="1539"/>
      <c r="CJ33" s="1539"/>
      <c r="CK33" s="1539"/>
      <c r="CL33" s="1539"/>
    </row>
    <row r="34" spans="1:90" s="432" customFormat="1" ht="30.75" customHeight="1" thickBot="1" x14ac:dyDescent="0.3">
      <c r="B34" s="1046" t="s">
        <v>513</v>
      </c>
      <c r="C34" s="1047" t="str">
        <f>INDEX(dms_FormControl_List,MATCH(dms_TradingName,dms_TradingName_List))</f>
        <v>Weighted average price cap</v>
      </c>
      <c r="D34" s="1031" t="s">
        <v>514</v>
      </c>
      <c r="E34" s="1048" t="s">
        <v>515</v>
      </c>
      <c r="F34" s="1049"/>
      <c r="G34" s="1049"/>
      <c r="H34" s="1049"/>
      <c r="I34" s="1049"/>
      <c r="J34" s="1050"/>
      <c r="K34" s="1051"/>
      <c r="AL34" s="1539"/>
      <c r="AM34" s="1539"/>
      <c r="AN34" s="1539"/>
      <c r="AO34" s="1539"/>
      <c r="AP34" s="1539"/>
      <c r="AQ34" s="1539"/>
      <c r="AR34" s="1539"/>
      <c r="AS34" s="1539"/>
      <c r="AT34" s="1539"/>
      <c r="AU34" s="1539"/>
      <c r="AV34" s="1539"/>
      <c r="AW34" s="1539"/>
      <c r="AX34" s="1539"/>
      <c r="AY34" s="1539"/>
      <c r="AZ34" s="1539"/>
      <c r="BA34" s="1539"/>
      <c r="BB34" s="1539"/>
      <c r="BC34" s="1539"/>
      <c r="BD34" s="1539"/>
      <c r="BE34" s="1539"/>
      <c r="BF34" s="1539"/>
      <c r="BG34" s="1539"/>
      <c r="BQ34" s="1539"/>
      <c r="BR34" s="1539"/>
      <c r="BS34" s="1539"/>
      <c r="BT34" s="1539"/>
      <c r="BU34" s="1539"/>
      <c r="BV34" s="1539"/>
      <c r="BW34" s="1539"/>
      <c r="BX34" s="1539"/>
      <c r="BY34" s="1539"/>
      <c r="BZ34" s="1539"/>
      <c r="CA34" s="1539"/>
      <c r="CB34" s="1539"/>
      <c r="CC34" s="1539"/>
      <c r="CD34" s="1539"/>
      <c r="CE34" s="1539"/>
      <c r="CF34" s="1539"/>
      <c r="CG34" s="1539"/>
      <c r="CH34" s="1539"/>
      <c r="CI34" s="1539"/>
      <c r="CJ34" s="1539"/>
      <c r="CK34" s="1539"/>
      <c r="CL34" s="1539"/>
    </row>
    <row r="35" spans="1:90" s="521" customFormat="1" ht="24" customHeight="1" thickBot="1" x14ac:dyDescent="0.3">
      <c r="A35" s="1585" t="s">
        <v>1094</v>
      </c>
      <c r="B35" s="152" t="s">
        <v>495</v>
      </c>
      <c r="C35" s="153"/>
      <c r="D35" s="1021"/>
      <c r="E35" s="1021"/>
      <c r="F35" s="1022"/>
      <c r="G35" s="1022"/>
      <c r="H35" s="1022"/>
      <c r="I35" s="1022"/>
      <c r="J35" s="1022"/>
      <c r="K35" s="1023"/>
      <c r="AL35" s="1539"/>
      <c r="AM35" s="1539"/>
      <c r="AN35" s="1539"/>
      <c r="AO35" s="1539"/>
      <c r="AP35" s="1539"/>
      <c r="AQ35" s="1539"/>
      <c r="AR35" s="1539"/>
      <c r="AS35" s="1539"/>
      <c r="AT35" s="1539"/>
      <c r="AU35" s="1539"/>
      <c r="AV35" s="1539"/>
      <c r="AW35" s="1539"/>
      <c r="AX35" s="1539"/>
      <c r="AY35" s="1539"/>
      <c r="AZ35" s="1539"/>
      <c r="BA35" s="1539"/>
      <c r="BB35" s="1539"/>
      <c r="BC35" s="1539"/>
      <c r="BD35" s="1539"/>
      <c r="BE35" s="1539"/>
      <c r="BF35" s="1539"/>
      <c r="BG35" s="1539"/>
      <c r="BQ35" s="1539"/>
      <c r="BR35" s="1539"/>
      <c r="BS35" s="1539"/>
      <c r="BT35" s="1539"/>
      <c r="BU35" s="1539"/>
      <c r="BV35" s="1539"/>
      <c r="BW35" s="1539"/>
      <c r="BX35" s="1539"/>
      <c r="BY35" s="1539"/>
      <c r="BZ35" s="1539"/>
      <c r="CA35" s="1539"/>
      <c r="CB35" s="1539"/>
      <c r="CC35" s="1539"/>
      <c r="CD35" s="1539"/>
      <c r="CE35" s="1539"/>
      <c r="CF35" s="1539"/>
      <c r="CG35" s="1539"/>
      <c r="CH35" s="1539"/>
      <c r="CI35" s="1539"/>
      <c r="CJ35" s="1539"/>
      <c r="CK35" s="1539"/>
      <c r="CL35" s="1539"/>
    </row>
    <row r="36" spans="1:90" s="521" customFormat="1" x14ac:dyDescent="0.25">
      <c r="A36" s="1586"/>
      <c r="B36" s="1052" t="s">
        <v>1095</v>
      </c>
      <c r="C36" s="1053">
        <f>FRCP_y1</f>
        <v>2011</v>
      </c>
      <c r="D36" s="1054" t="s">
        <v>1096</v>
      </c>
      <c r="E36" s="1055"/>
      <c r="F36" s="1055"/>
      <c r="G36" s="1055"/>
      <c r="H36" s="1055"/>
      <c r="I36" s="1055"/>
      <c r="J36" s="1055"/>
      <c r="K36" s="1056"/>
    </row>
    <row r="37" spans="1:90" s="521" customFormat="1" x14ac:dyDescent="0.25">
      <c r="A37" s="1586"/>
      <c r="B37" s="1057" t="s">
        <v>1097</v>
      </c>
      <c r="C37" s="1058">
        <f>IFERROR(CRY,0)</f>
        <v>2011</v>
      </c>
      <c r="D37" s="1059"/>
      <c r="E37" s="1060"/>
      <c r="F37" s="1060"/>
      <c r="G37" s="1060"/>
      <c r="H37" s="1060"/>
      <c r="I37" s="1060"/>
      <c r="J37" s="1060"/>
      <c r="K37" s="1061"/>
    </row>
    <row r="38" spans="1:90" s="521" customFormat="1" x14ac:dyDescent="0.25">
      <c r="A38" s="1586"/>
      <c r="B38" s="1057" t="s">
        <v>1098</v>
      </c>
      <c r="C38" s="1058">
        <f ca="1">IFERROR(MATCH(dms_CRY_start_year,INDIRECT(dms_RPT),0),0)</f>
        <v>24</v>
      </c>
      <c r="D38" s="1059"/>
      <c r="E38" s="1060"/>
      <c r="F38" s="1060"/>
      <c r="G38" s="1060"/>
      <c r="H38" s="1060"/>
      <c r="I38" s="1060"/>
      <c r="J38" s="1060"/>
      <c r="K38" s="1061"/>
    </row>
    <row r="39" spans="1:90" s="521" customFormat="1" x14ac:dyDescent="0.25">
      <c r="A39" s="1586"/>
      <c r="B39" s="1062" t="s">
        <v>1099</v>
      </c>
      <c r="C39" s="1063">
        <f ca="1">MATCH(dms_start_year,INDIRECT(dms_RPT),0)</f>
        <v>24</v>
      </c>
      <c r="D39" s="1064" t="s">
        <v>1100</v>
      </c>
      <c r="E39" s="1065"/>
      <c r="F39" s="1065"/>
      <c r="G39" s="1065"/>
      <c r="H39" s="1065"/>
      <c r="I39" s="1065"/>
      <c r="J39" s="1065"/>
      <c r="K39" s="1066"/>
    </row>
    <row r="40" spans="1:90" s="521" customFormat="1" x14ac:dyDescent="0.25">
      <c r="A40" s="1586"/>
      <c r="B40" s="1067" t="s">
        <v>1101</v>
      </c>
      <c r="C40" s="1068">
        <f ca="1">dms_FRCP_start_row-dms_CRCPlength_Num</f>
        <v>19</v>
      </c>
      <c r="D40" s="1069" t="s">
        <v>1102</v>
      </c>
      <c r="E40" s="1070"/>
      <c r="F40" s="1070"/>
      <c r="G40" s="1070"/>
      <c r="H40" s="1070"/>
      <c r="I40" s="1070"/>
      <c r="J40" s="1070"/>
      <c r="K40" s="1071"/>
    </row>
    <row r="41" spans="1:90" s="521" customFormat="1" x14ac:dyDescent="0.25">
      <c r="A41" s="1586"/>
      <c r="B41" s="1067" t="s">
        <v>1103</v>
      </c>
      <c r="C41" s="1068">
        <f ca="1">dms_FRCP_start_row-dms_CRCPlength_Num-dms_PRCPlength_Num</f>
        <v>14</v>
      </c>
      <c r="D41" s="1069" t="s">
        <v>1104</v>
      </c>
      <c r="E41" s="1070"/>
      <c r="F41" s="1070"/>
      <c r="G41" s="1070"/>
      <c r="H41" s="1070"/>
      <c r="I41" s="1070"/>
      <c r="J41" s="1070"/>
      <c r="K41" s="1071"/>
    </row>
    <row r="42" spans="1:90" s="521" customFormat="1" x14ac:dyDescent="0.25">
      <c r="A42" s="1586"/>
      <c r="B42" s="1072" t="s">
        <v>1105</v>
      </c>
      <c r="C42" s="1073">
        <f ca="1">dms_FRCP_start_row+(dms_FRCPlength_Num-1)</f>
        <v>28</v>
      </c>
      <c r="D42" s="1074" t="s">
        <v>1106</v>
      </c>
      <c r="E42" s="1075"/>
      <c r="F42" s="1075"/>
      <c r="G42" s="1075"/>
      <c r="H42" s="1075"/>
      <c r="I42" s="1075"/>
      <c r="J42" s="1075"/>
      <c r="K42" s="1076"/>
    </row>
    <row r="43" spans="1:90" s="521" customFormat="1" x14ac:dyDescent="0.25">
      <c r="A43" s="1586"/>
      <c r="B43" s="1062" t="s">
        <v>1107</v>
      </c>
      <c r="C43" s="1077">
        <f ca="1">INDEX(INDIRECT(dms_RPT),dms_FRCP_start_row)</f>
        <v>2011</v>
      </c>
      <c r="D43" s="1064" t="s">
        <v>1108</v>
      </c>
      <c r="E43" s="1065"/>
      <c r="F43" s="1065"/>
      <c r="G43" s="1065"/>
      <c r="H43" s="1065"/>
      <c r="I43" s="1065"/>
      <c r="J43" s="1065"/>
      <c r="K43" s="1066"/>
    </row>
    <row r="44" spans="1:90" s="521" customFormat="1" x14ac:dyDescent="0.25">
      <c r="A44" s="1586"/>
      <c r="B44" s="1067" t="s">
        <v>1109</v>
      </c>
      <c r="C44" s="1068" t="str">
        <f ca="1">INDEX(INDIRECT(dms_RPT),dms_CRCP_start_row)</f>
        <v>2006</v>
      </c>
      <c r="D44" s="1069" t="s">
        <v>1110</v>
      </c>
      <c r="E44" s="1070"/>
      <c r="F44" s="1070"/>
      <c r="G44" s="1070"/>
      <c r="H44" s="1070"/>
      <c r="I44" s="1070"/>
      <c r="J44" s="1070"/>
      <c r="K44" s="1071"/>
    </row>
    <row r="45" spans="1:90" s="521" customFormat="1" x14ac:dyDescent="0.25">
      <c r="A45" s="1586"/>
      <c r="B45" s="1078" t="s">
        <v>1111</v>
      </c>
      <c r="C45" s="1079" t="str">
        <f ca="1">INDEX(INDIRECT(dms_RPT),dms_PRCP_start_row)</f>
        <v>2001</v>
      </c>
      <c r="D45" s="1074" t="s">
        <v>1112</v>
      </c>
      <c r="E45" s="1075"/>
      <c r="F45" s="1075"/>
      <c r="G45" s="1075"/>
      <c r="H45" s="1075"/>
      <c r="I45" s="1075"/>
      <c r="J45" s="1075"/>
      <c r="K45" s="1076"/>
    </row>
    <row r="46" spans="1:90" s="521" customFormat="1" x14ac:dyDescent="0.25">
      <c r="A46" s="1586"/>
      <c r="B46" s="1062" t="s">
        <v>1113</v>
      </c>
      <c r="C46" s="1077">
        <f ca="1">INDEX(INDIRECT(dms_RPT),dms_FRCP_start_row+dms_FRCPlength_Num-1)</f>
        <v>2015</v>
      </c>
      <c r="D46" s="1069" t="s">
        <v>1114</v>
      </c>
      <c r="E46" s="1070"/>
      <c r="F46" s="1070"/>
      <c r="G46" s="1070"/>
      <c r="H46" s="1070"/>
      <c r="I46" s="1070"/>
      <c r="J46" s="1070"/>
      <c r="K46" s="1071"/>
    </row>
    <row r="47" spans="1:90" s="521" customFormat="1" x14ac:dyDescent="0.25">
      <c r="A47" s="1586"/>
      <c r="B47" s="1067" t="s">
        <v>1115</v>
      </c>
      <c r="C47" s="1068">
        <f ca="1">INDEX(INDIRECT(dms_RPT),dms_CRCP_start_row+dms_CRCPlength_Num-1)</f>
        <v>2010</v>
      </c>
      <c r="D47" s="1069" t="s">
        <v>1116</v>
      </c>
      <c r="E47" s="1070"/>
      <c r="F47" s="1070"/>
      <c r="G47" s="1070"/>
      <c r="H47" s="1070"/>
      <c r="I47" s="1070"/>
      <c r="J47" s="1070"/>
      <c r="K47" s="1071"/>
    </row>
    <row r="48" spans="1:90" s="521" customFormat="1" x14ac:dyDescent="0.25">
      <c r="A48" s="1586"/>
      <c r="B48" s="1078" t="s">
        <v>1117</v>
      </c>
      <c r="C48" s="1079" t="str">
        <f ca="1">INDEX(INDIRECT(dms_RPT),dms_PRCP_start_row+dms_FRCPlength_Num-1)</f>
        <v>2005</v>
      </c>
      <c r="D48" s="1074" t="s">
        <v>1118</v>
      </c>
      <c r="E48" s="1075"/>
      <c r="F48" s="1075"/>
      <c r="G48" s="1075"/>
      <c r="H48" s="1075"/>
      <c r="I48" s="1075"/>
      <c r="J48" s="1075"/>
      <c r="K48" s="1076"/>
    </row>
    <row r="49" spans="1:11" s="521" customFormat="1" x14ac:dyDescent="0.25">
      <c r="A49" s="1586"/>
      <c r="B49" s="1062" t="s">
        <v>1119</v>
      </c>
      <c r="C49" s="1077">
        <f ca="1">INDEX(INDIRECT(dms_RPT),dms_RYE_start_row)</f>
        <v>2015</v>
      </c>
      <c r="D49" s="1069" t="s">
        <v>1120</v>
      </c>
      <c r="E49" s="1070"/>
      <c r="F49" s="1070"/>
      <c r="G49" s="1070"/>
      <c r="H49" s="1070"/>
      <c r="I49" s="1070"/>
      <c r="J49" s="1070"/>
      <c r="K49" s="1071"/>
    </row>
    <row r="50" spans="1:11" s="521" customFormat="1" x14ac:dyDescent="0.25">
      <c r="A50" s="1586"/>
      <c r="B50" s="1078" t="s">
        <v>1121</v>
      </c>
      <c r="C50" s="1080">
        <f>FRY</f>
        <v>2019</v>
      </c>
      <c r="D50" s="1074" t="s">
        <v>1122</v>
      </c>
      <c r="E50" s="1075"/>
      <c r="F50" s="1075"/>
      <c r="G50" s="1075"/>
      <c r="H50" s="1075"/>
      <c r="I50" s="1075"/>
      <c r="J50" s="1075"/>
      <c r="K50" s="1076"/>
    </row>
    <row r="51" spans="1:11" s="521" customFormat="1" x14ac:dyDescent="0.25">
      <c r="A51" s="1586"/>
      <c r="B51" s="1057" t="s">
        <v>1123</v>
      </c>
      <c r="C51" s="1081" t="str">
        <f ca="1">LEFT(CRCP_final_year,2)&amp;RIGHT(CRCP_final_year,2)</f>
        <v>2010</v>
      </c>
      <c r="D51" s="1082" t="s">
        <v>1124</v>
      </c>
      <c r="E51" s="1083"/>
      <c r="F51" s="1084"/>
      <c r="G51" s="1084"/>
      <c r="H51" s="1084"/>
      <c r="I51" s="1084"/>
      <c r="J51" s="1084"/>
      <c r="K51" s="1085"/>
    </row>
    <row r="52" spans="1:11" s="521" customFormat="1" x14ac:dyDescent="0.25">
      <c r="A52" s="1586"/>
      <c r="B52" s="1086" t="s">
        <v>1125</v>
      </c>
      <c r="C52" s="1087" t="str">
        <f ca="1">LEFT(PRCP_final_year,2)&amp;RIGHT(PRCP_final_year,2)</f>
        <v>2005</v>
      </c>
      <c r="D52" s="1074" t="s">
        <v>1126</v>
      </c>
      <c r="E52" s="1075"/>
      <c r="F52" s="1075"/>
      <c r="G52" s="1075"/>
      <c r="H52" s="1075"/>
      <c r="I52" s="1075"/>
      <c r="J52" s="1075"/>
      <c r="K52" s="1076"/>
    </row>
    <row r="53" spans="1:11" s="521" customFormat="1" x14ac:dyDescent="0.25">
      <c r="A53" s="1586"/>
      <c r="B53" s="1088" t="s">
        <v>1127</v>
      </c>
      <c r="C53" s="1089" t="str">
        <f>IFERROR(LEFT(CRY,2)&amp;RIGHT(CRY,2),0)</f>
        <v>2011</v>
      </c>
      <c r="D53" s="1064" t="s">
        <v>1128</v>
      </c>
      <c r="E53" s="1065"/>
      <c r="F53" s="1070"/>
      <c r="G53" s="1070"/>
      <c r="H53" s="1070"/>
      <c r="I53" s="1070"/>
      <c r="J53" s="1070"/>
      <c r="K53" s="1071"/>
    </row>
    <row r="54" spans="1:11" s="521" customFormat="1" x14ac:dyDescent="0.25">
      <c r="A54" s="1586"/>
      <c r="B54" s="1067" t="s">
        <v>1129</v>
      </c>
      <c r="C54" s="1068">
        <f>IF(dms_Model_Span&gt;1,IF(dms_Model="RFM",(LEFT(dms_DollarReal_year,2)&amp;RIGHT(dms_DollarReal_year,2)),(LEFT(dms_Reset_final_year,2)&amp;RIGHT(dms_Reset_final_year,2))),0)</f>
        <v>0</v>
      </c>
      <c r="D54" s="1069" t="s">
        <v>1130</v>
      </c>
      <c r="E54" s="1070"/>
      <c r="F54" s="1070"/>
      <c r="G54" s="1070"/>
      <c r="H54" s="1070"/>
      <c r="I54" s="1070"/>
      <c r="J54" s="1070"/>
      <c r="K54" s="1071"/>
    </row>
    <row r="55" spans="1:11" s="521" customFormat="1" x14ac:dyDescent="0.25">
      <c r="A55" s="1586"/>
      <c r="B55" s="1067" t="s">
        <v>1131</v>
      </c>
      <c r="C55" s="1068" t="str">
        <f>IF(dms_MultiYear_ResponseFlag="Yes",(LEFT(dms_Specified_FinalYear,2)&amp;RIGHT(dms_Specified_FinalYear,2)),0)</f>
        <v>2019</v>
      </c>
      <c r="D55" s="1069" t="s">
        <v>1132</v>
      </c>
      <c r="E55" s="1070"/>
      <c r="F55" s="1070"/>
      <c r="G55" s="1070"/>
      <c r="H55" s="1070"/>
      <c r="I55" s="1070"/>
      <c r="J55" s="1070"/>
      <c r="K55" s="1071"/>
    </row>
    <row r="56" spans="1:11" s="521" customFormat="1" x14ac:dyDescent="0.25">
      <c r="A56" s="1586"/>
      <c r="B56" s="1067" t="s">
        <v>1133</v>
      </c>
      <c r="C56" s="1068">
        <f>INDEX(dms_Model_Span_List,MATCH(dms_Model,dms_Model_List))</f>
        <v>1</v>
      </c>
      <c r="D56" s="1069" t="s">
        <v>1134</v>
      </c>
      <c r="E56" s="1070"/>
      <c r="F56" s="1070"/>
      <c r="G56" s="1070"/>
      <c r="H56" s="1070"/>
      <c r="I56" s="1070"/>
      <c r="J56" s="1070"/>
      <c r="K56" s="1071"/>
    </row>
    <row r="57" spans="1:11" s="521" customFormat="1" x14ac:dyDescent="0.25">
      <c r="A57" s="1586"/>
      <c r="B57" s="1078" t="s">
        <v>1135</v>
      </c>
      <c r="C57" s="1079" t="str">
        <f>IF(dms_MultiYear_ResponseFlag="yes",dms_Specified_RYE,(IF(dms_Model_Span&gt;1,dms_Reset_RYE,dms_CRY_RYE)))</f>
        <v>2019</v>
      </c>
      <c r="D57" s="1074" t="s">
        <v>1136</v>
      </c>
      <c r="E57" s="1075"/>
      <c r="F57" s="1075"/>
      <c r="G57" s="1075"/>
      <c r="H57" s="1075"/>
      <c r="I57" s="1075"/>
      <c r="J57" s="1075"/>
      <c r="K57" s="1076"/>
    </row>
    <row r="58" spans="1:11" s="521" customFormat="1" x14ac:dyDescent="0.25">
      <c r="A58" s="1586"/>
      <c r="B58" s="1088" t="s">
        <v>1137</v>
      </c>
      <c r="C58" s="1089">
        <f>IF(dms_Reset_RYE&gt;0,CONCATENATE(FRCP_y1," to ",FRCP_final_year),0)</f>
        <v>0</v>
      </c>
      <c r="D58" s="1069" t="s">
        <v>1138</v>
      </c>
      <c r="E58" s="1070"/>
      <c r="F58" s="1090"/>
      <c r="G58" s="1070"/>
      <c r="H58" s="1070"/>
      <c r="I58" s="1070"/>
      <c r="J58" s="1070"/>
      <c r="K58" s="1071"/>
    </row>
    <row r="59" spans="1:11" s="521" customFormat="1" x14ac:dyDescent="0.25">
      <c r="A59" s="1586"/>
      <c r="B59" s="1067" t="s">
        <v>1139</v>
      </c>
      <c r="C59" s="1068" t="str">
        <f>IF(dms_Specified_RYE&gt;0,CONCATENATE(CRY," to ",dms_Specified_FinalYear),0)</f>
        <v>2011 to 2019</v>
      </c>
      <c r="D59" s="1069" t="s">
        <v>1140</v>
      </c>
      <c r="E59" s="1070"/>
      <c r="F59" s="1070"/>
      <c r="G59" s="1070"/>
      <c r="H59" s="1070"/>
      <c r="I59" s="1070"/>
      <c r="J59" s="1070"/>
      <c r="K59" s="1071"/>
    </row>
    <row r="60" spans="1:11" s="521" customFormat="1" ht="15.75" thickBot="1" x14ac:dyDescent="0.3">
      <c r="A60" s="1586"/>
      <c r="B60" s="1091" t="s">
        <v>1141</v>
      </c>
      <c r="C60" s="1092" t="str">
        <f>IF(dms_MultiYear_Flag=1,dms_SpecifiedYear_Span,IF(dms_Model_Span&gt;1,dms_y1&amp;" - "&amp;FRCP_final_year,CRY))</f>
        <v>2011 to 2019</v>
      </c>
      <c r="D60" s="1093" t="s">
        <v>1142</v>
      </c>
      <c r="E60" s="1094"/>
      <c r="F60" s="1094"/>
      <c r="G60" s="1094"/>
      <c r="H60" s="1094"/>
      <c r="I60" s="1094"/>
      <c r="J60" s="1094"/>
      <c r="K60" s="1095"/>
    </row>
    <row r="61" spans="1:11" s="521" customFormat="1" ht="25.5" customHeight="1" thickBot="1" x14ac:dyDescent="0.3">
      <c r="B61" s="152" t="s">
        <v>516</v>
      </c>
      <c r="C61" s="153"/>
      <c r="D61" s="1043"/>
      <c r="E61" s="1043"/>
      <c r="F61" s="1044"/>
      <c r="G61" s="1044"/>
      <c r="H61" s="1044"/>
      <c r="I61" s="1044"/>
      <c r="J61" s="1044"/>
      <c r="K61" s="1045"/>
    </row>
    <row r="62" spans="1:11" s="521" customFormat="1" ht="18" x14ac:dyDescent="0.25">
      <c r="B62" s="1096" t="s">
        <v>1143</v>
      </c>
      <c r="C62" s="1097" t="s">
        <v>1183</v>
      </c>
      <c r="D62" s="1098"/>
      <c r="E62" s="1099"/>
      <c r="F62" s="1100"/>
      <c r="G62" s="1100"/>
      <c r="H62" s="1100"/>
      <c r="I62" s="1100"/>
      <c r="J62" s="1101"/>
      <c r="K62" s="1102"/>
    </row>
    <row r="63" spans="1:11" s="521" customFormat="1" x14ac:dyDescent="0.25">
      <c r="B63" s="1103"/>
      <c r="C63" s="1104">
        <f>IF(dms_MultiYear_ResponseFlag="No",0,1)</f>
        <v>1</v>
      </c>
      <c r="D63" s="1105" t="s">
        <v>517</v>
      </c>
      <c r="E63" s="1106" t="s">
        <v>518</v>
      </c>
      <c r="F63" s="1107"/>
      <c r="G63" s="1107"/>
      <c r="H63" s="1107"/>
      <c r="I63" s="1107"/>
      <c r="J63" s="1108"/>
      <c r="K63" s="1109"/>
    </row>
    <row r="64" spans="1:11" s="521" customFormat="1" x14ac:dyDescent="0.25">
      <c r="B64" s="1103"/>
      <c r="C64" s="1110">
        <f>IF(dms_MultiYear_Flag=1,FRY,"not a Multiple year submission")</f>
        <v>2019</v>
      </c>
      <c r="D64" s="1105" t="s">
        <v>519</v>
      </c>
      <c r="E64" s="1111" t="s">
        <v>520</v>
      </c>
      <c r="F64" s="1107"/>
      <c r="G64" s="1107"/>
      <c r="H64" s="1107"/>
      <c r="I64" s="1112"/>
      <c r="J64" s="1113"/>
      <c r="K64" s="1114"/>
    </row>
    <row r="65" spans="2:11" s="521" customFormat="1" ht="15.75" thickBot="1" x14ac:dyDescent="0.3">
      <c r="B65" s="1115" t="s">
        <v>521</v>
      </c>
      <c r="C65" s="1116">
        <f>IFERROR(IF(dms_MultiYear_Flag=1,FRY,CRY),"not an ABC")</f>
        <v>2019</v>
      </c>
      <c r="D65" s="1117" t="s">
        <v>522</v>
      </c>
      <c r="E65" s="1117" t="s">
        <v>523</v>
      </c>
      <c r="F65" s="1118"/>
      <c r="G65" s="1118" t="s">
        <v>524</v>
      </c>
      <c r="H65" s="1118"/>
      <c r="I65" s="1118"/>
      <c r="J65" s="1119"/>
      <c r="K65" s="1120"/>
    </row>
    <row r="66" spans="2:11" s="521" customFormat="1" ht="22.5" customHeight="1" thickBot="1" x14ac:dyDescent="0.3">
      <c r="B66" s="152" t="s">
        <v>1144</v>
      </c>
      <c r="C66" s="153"/>
      <c r="D66" s="153"/>
      <c r="E66" s="153"/>
      <c r="F66" s="156"/>
      <c r="G66" s="156"/>
      <c r="H66" s="156"/>
      <c r="I66" s="156"/>
      <c r="J66" s="156"/>
      <c r="K66" s="157"/>
    </row>
    <row r="67" spans="2:11" s="521" customFormat="1" x14ac:dyDescent="0.25">
      <c r="B67" s="1121" t="s">
        <v>1145</v>
      </c>
      <c r="C67" s="1122"/>
      <c r="D67" s="1123"/>
      <c r="E67" s="1124"/>
      <c r="F67" s="1125"/>
      <c r="G67" s="1125"/>
      <c r="H67" s="1125"/>
      <c r="I67" s="1125"/>
      <c r="J67" s="1126"/>
      <c r="K67" s="1127"/>
    </row>
    <row r="68" spans="2:11" s="521" customFormat="1" x14ac:dyDescent="0.25">
      <c r="B68" s="1103" t="s">
        <v>1146</v>
      </c>
      <c r="C68" s="1128">
        <f>INDEX(dms_PRCPlength_List,MATCH(dms_TradingName,dms_TradingName_List))</f>
        <v>5</v>
      </c>
      <c r="D68" s="1098" t="s">
        <v>1147</v>
      </c>
      <c r="E68" s="1129" t="s">
        <v>1148</v>
      </c>
      <c r="F68" s="1130"/>
      <c r="G68" s="1130"/>
      <c r="H68" s="1130"/>
      <c r="I68" s="1130"/>
      <c r="J68" s="1130"/>
      <c r="K68" s="1131"/>
    </row>
    <row r="69" spans="2:11" s="521" customFormat="1" x14ac:dyDescent="0.25">
      <c r="B69" s="1103" t="s">
        <v>509</v>
      </c>
      <c r="C69" s="1132">
        <f>INDEX(dms_CRCPlength_List,MATCH(dms_TradingName,dms_TradingName_List))</f>
        <v>5</v>
      </c>
      <c r="D69" s="1133" t="s">
        <v>510</v>
      </c>
      <c r="E69" s="1134" t="s">
        <v>511</v>
      </c>
      <c r="F69" s="1125"/>
      <c r="G69" s="1125"/>
      <c r="H69" s="1125"/>
      <c r="I69" s="1125"/>
      <c r="J69" s="1125"/>
      <c r="K69" s="1135"/>
    </row>
    <row r="70" spans="2:11" s="521" customFormat="1" x14ac:dyDescent="0.25">
      <c r="B70" s="1136" t="s">
        <v>505</v>
      </c>
      <c r="C70" s="1137">
        <f>INDEX(dms_FRCPlength_List,MATCH(dms_TradingName,dms_TradingName_List))</f>
        <v>5</v>
      </c>
      <c r="D70" s="1138" t="s">
        <v>506</v>
      </c>
      <c r="E70" s="1139" t="s">
        <v>507</v>
      </c>
      <c r="F70" s="1140"/>
      <c r="G70" s="1140"/>
      <c r="H70" s="1140"/>
      <c r="I70" s="1140"/>
      <c r="J70" s="1140"/>
      <c r="K70" s="1141"/>
    </row>
    <row r="71" spans="2:11" s="521" customFormat="1" x14ac:dyDescent="0.25">
      <c r="B71" s="1142" t="s">
        <v>1149</v>
      </c>
      <c r="C71" s="1123"/>
      <c r="D71" s="1123"/>
      <c r="E71" s="1124"/>
      <c r="F71" s="1125"/>
      <c r="G71" s="1125"/>
      <c r="H71" s="1125"/>
      <c r="I71" s="1125"/>
      <c r="J71" s="1126"/>
      <c r="K71" s="1127"/>
    </row>
    <row r="72" spans="2:11" s="521" customFormat="1" x14ac:dyDescent="0.25">
      <c r="B72" s="1583" t="s">
        <v>1150</v>
      </c>
      <c r="C72" s="1143">
        <f>IF(dms_Model="EB",1,0)</f>
        <v>0</v>
      </c>
      <c r="D72" s="1123" t="s">
        <v>496</v>
      </c>
      <c r="E72" s="1124"/>
      <c r="F72" s="1125"/>
      <c r="G72" s="1125"/>
      <c r="H72" s="1125"/>
      <c r="I72" s="1125"/>
      <c r="J72" s="1126"/>
      <c r="K72" s="1127"/>
    </row>
    <row r="73" spans="2:11" s="521" customFormat="1" x14ac:dyDescent="0.25">
      <c r="B73" s="1583"/>
      <c r="C73" s="1144">
        <f>IF(dms_Model="CA",1,0)</f>
        <v>0</v>
      </c>
      <c r="D73" s="1145" t="s">
        <v>497</v>
      </c>
      <c r="E73" s="1146" t="s">
        <v>498</v>
      </c>
      <c r="F73" s="1147"/>
      <c r="G73" s="1147"/>
      <c r="H73" s="1147"/>
      <c r="I73" s="1147"/>
      <c r="J73" s="1148"/>
      <c r="K73" s="1149"/>
    </row>
    <row r="74" spans="2:11" s="521" customFormat="1" x14ac:dyDescent="0.25">
      <c r="B74" s="1584"/>
      <c r="C74" s="1144">
        <f>IF(dms_Model="ARR",1,0)</f>
        <v>1</v>
      </c>
      <c r="D74" s="1145" t="s">
        <v>499</v>
      </c>
      <c r="E74" s="1146"/>
      <c r="F74" s="1147"/>
      <c r="G74" s="1147"/>
      <c r="H74" s="1147"/>
      <c r="I74" s="1147"/>
      <c r="J74" s="1148"/>
      <c r="K74" s="1149"/>
    </row>
    <row r="75" spans="2:11" s="521" customFormat="1" x14ac:dyDescent="0.25">
      <c r="B75" s="1150" t="s">
        <v>1151</v>
      </c>
      <c r="C75" s="1151" t="str">
        <f>IF(SUM(dms_SingleYear_Model)=1,"yes","no")</f>
        <v>yes</v>
      </c>
      <c r="D75" s="1146" t="s">
        <v>500</v>
      </c>
      <c r="E75" s="1146" t="s">
        <v>501</v>
      </c>
      <c r="F75" s="1118"/>
      <c r="G75" s="1118"/>
      <c r="H75" s="1118"/>
      <c r="I75" s="1147"/>
      <c r="J75" s="1148"/>
      <c r="K75" s="1149"/>
    </row>
    <row r="76" spans="2:11" s="521" customFormat="1" x14ac:dyDescent="0.25">
      <c r="B76" s="1152" t="s">
        <v>502</v>
      </c>
      <c r="C76" s="1153">
        <f>IF(AND(dms_SingleYearModel="yes",dms_MultiYear_Flag=0),CRY,0)</f>
        <v>0</v>
      </c>
      <c r="D76" s="1138" t="s">
        <v>503</v>
      </c>
      <c r="E76" s="1139" t="s">
        <v>504</v>
      </c>
      <c r="F76" s="1154"/>
      <c r="G76" s="1154"/>
      <c r="H76" s="1154"/>
      <c r="I76" s="1154"/>
      <c r="J76" s="1154"/>
      <c r="K76" s="1155"/>
    </row>
    <row r="77" spans="2:11" s="521" customFormat="1" x14ac:dyDescent="0.25">
      <c r="B77" s="1121" t="s">
        <v>1152</v>
      </c>
      <c r="C77" s="1116"/>
      <c r="D77" s="1133"/>
      <c r="E77" s="1134"/>
      <c r="F77" s="1125"/>
      <c r="G77" s="1125"/>
      <c r="H77" s="1125"/>
      <c r="I77" s="1125"/>
      <c r="J77" s="1125"/>
      <c r="K77" s="1135"/>
    </row>
    <row r="78" spans="2:11" s="521" customFormat="1" x14ac:dyDescent="0.25">
      <c r="B78" s="1103"/>
      <c r="C78" s="1116"/>
      <c r="D78" s="1133"/>
      <c r="E78" s="1134"/>
      <c r="F78" s="1125"/>
      <c r="G78" s="1125"/>
      <c r="H78" s="1125"/>
      <c r="I78" s="1125"/>
      <c r="J78" s="1125"/>
      <c r="K78" s="1135"/>
    </row>
    <row r="79" spans="2:11" s="521" customFormat="1" x14ac:dyDescent="0.25">
      <c r="B79" s="1103" t="s">
        <v>1153</v>
      </c>
      <c r="C79" s="1116" t="str">
        <f>IF(dms_Model_Span&gt;1,"yes","no")</f>
        <v>no</v>
      </c>
      <c r="D79" s="1133"/>
      <c r="E79" s="1134"/>
      <c r="F79" s="1125"/>
      <c r="G79" s="1125"/>
      <c r="H79" s="1125"/>
      <c r="I79" s="1125"/>
      <c r="J79" s="1125"/>
      <c r="K79" s="1135"/>
    </row>
    <row r="80" spans="2:11" s="521" customFormat="1" x14ac:dyDescent="0.25">
      <c r="B80" s="1103" t="s">
        <v>1154</v>
      </c>
      <c r="C80" s="1156">
        <f>IF(dms_Model_Span&gt;1,dms_Reset_final_year,0)</f>
        <v>0</v>
      </c>
      <c r="D80" s="1133" t="s">
        <v>508</v>
      </c>
      <c r="E80" s="1134"/>
      <c r="F80" s="1125"/>
      <c r="G80" s="1125"/>
      <c r="H80" s="1125"/>
      <c r="I80" s="1125"/>
      <c r="J80" s="1125"/>
      <c r="K80" s="1135"/>
    </row>
    <row r="81" spans="2:12" s="521" customFormat="1" x14ac:dyDescent="0.25">
      <c r="B81" s="1103"/>
      <c r="C81" s="1116"/>
      <c r="D81" s="1133"/>
      <c r="E81" s="1134"/>
      <c r="F81" s="1125"/>
      <c r="G81" s="1125"/>
      <c r="H81" s="1125"/>
      <c r="I81" s="1125"/>
      <c r="J81" s="1125"/>
      <c r="K81" s="1135"/>
    </row>
    <row r="82" spans="2:12" s="521" customFormat="1" x14ac:dyDescent="0.25">
      <c r="B82" s="1103" t="s">
        <v>1155</v>
      </c>
      <c r="C82" s="1116" t="str">
        <f>IF(dms_MultiYear_Flag=1,"yes","no")</f>
        <v>yes</v>
      </c>
      <c r="D82" s="1133" t="s">
        <v>1156</v>
      </c>
      <c r="E82" s="1134"/>
      <c r="F82" s="1125"/>
      <c r="G82" s="1125"/>
      <c r="H82" s="1125"/>
      <c r="I82" s="1125"/>
      <c r="J82" s="1125"/>
      <c r="K82" s="1135"/>
    </row>
    <row r="83" spans="2:12" s="521" customFormat="1" x14ac:dyDescent="0.25">
      <c r="B83" s="1136" t="s">
        <v>1157</v>
      </c>
      <c r="C83" s="1157">
        <f>IF(dms_MultiYear_Flag=1,C50,0)</f>
        <v>2019</v>
      </c>
      <c r="D83" s="1158" t="s">
        <v>508</v>
      </c>
      <c r="E83" s="1159"/>
      <c r="F83" s="1140"/>
      <c r="G83" s="1140"/>
      <c r="H83" s="1140"/>
      <c r="I83" s="1140"/>
      <c r="J83" s="1140"/>
      <c r="K83" s="1141"/>
    </row>
    <row r="84" spans="2:12" s="521" customFormat="1" ht="15.75" thickBot="1" x14ac:dyDescent="0.3">
      <c r="B84" s="1103"/>
      <c r="C84" s="1116"/>
      <c r="D84" s="1133"/>
      <c r="E84" s="1134"/>
      <c r="F84" s="1125"/>
      <c r="G84" s="1125"/>
      <c r="H84" s="1125"/>
      <c r="I84" s="1125"/>
      <c r="J84" s="1125"/>
      <c r="K84" s="1135"/>
    </row>
    <row r="85" spans="2:12" s="521" customFormat="1" ht="28.5" customHeight="1" thickBot="1" x14ac:dyDescent="0.3">
      <c r="B85" s="152" t="s">
        <v>525</v>
      </c>
      <c r="C85" s="153"/>
      <c r="D85" s="153"/>
      <c r="E85" s="153"/>
      <c r="F85" s="156"/>
      <c r="G85" s="156"/>
      <c r="H85" s="156"/>
      <c r="I85" s="156"/>
      <c r="J85" s="156"/>
      <c r="K85" s="157"/>
    </row>
    <row r="86" spans="2:12" s="432" customFormat="1" ht="24.75" customHeight="1" thickBot="1" x14ac:dyDescent="0.3">
      <c r="B86" s="1160" t="s">
        <v>526</v>
      </c>
      <c r="C86" s="142">
        <f>IFERROR(IF(dms_Segment="Transmission",dms_Cal_Year_B4_CRY,CRY),"CRY not present")</f>
        <v>2011</v>
      </c>
      <c r="D86" s="1031" t="s">
        <v>527</v>
      </c>
      <c r="E86" s="1048" t="s">
        <v>1158</v>
      </c>
      <c r="F86" s="1049"/>
      <c r="G86" s="1049"/>
      <c r="H86" s="1049"/>
      <c r="I86" s="1049"/>
      <c r="J86" s="1050"/>
      <c r="K86" s="1051"/>
    </row>
    <row r="87" spans="2:12" s="207" customFormat="1" ht="27" customHeight="1" thickBot="1" x14ac:dyDescent="0.3">
      <c r="B87" s="1161" t="s">
        <v>528</v>
      </c>
      <c r="C87" s="1162"/>
      <c r="D87" s="1162"/>
      <c r="E87" s="1162"/>
      <c r="F87" s="1163"/>
      <c r="G87" s="1163"/>
      <c r="H87" s="1163"/>
      <c r="I87" s="1163"/>
      <c r="J87" s="1163"/>
      <c r="K87" s="1164"/>
    </row>
    <row r="88" spans="2:12" s="521" customFormat="1" x14ac:dyDescent="0.25">
      <c r="B88" s="170" t="s">
        <v>529</v>
      </c>
      <c r="C88" s="171"/>
      <c r="D88" s="172"/>
      <c r="E88" s="141" t="s">
        <v>530</v>
      </c>
      <c r="F88" s="131"/>
      <c r="G88" s="131"/>
      <c r="H88" s="131"/>
      <c r="I88" s="131"/>
      <c r="J88" s="131"/>
      <c r="K88" s="132"/>
    </row>
    <row r="89" spans="2:12" s="521" customFormat="1" x14ac:dyDescent="0.25">
      <c r="B89" s="170"/>
      <c r="C89" s="171" t="str">
        <f>IF(dms_Model&lt;&gt;"CA","not a CA","Is a CA")</f>
        <v>not a CA</v>
      </c>
      <c r="D89" s="172"/>
      <c r="E89" s="173" t="s">
        <v>531</v>
      </c>
      <c r="F89" s="131"/>
      <c r="G89" s="131"/>
      <c r="H89" s="131"/>
      <c r="I89" s="131"/>
      <c r="J89" s="131"/>
      <c r="K89" s="132"/>
    </row>
    <row r="90" spans="2:12" s="521" customFormat="1" x14ac:dyDescent="0.25">
      <c r="B90" s="174" t="s">
        <v>532</v>
      </c>
      <c r="C90" s="171" t="str">
        <f>IFERROR(IF(INDEX(dms_060301_Avg_Duration_Sustained_Int_Values,1,1)&lt;&gt;"","yes","no"),"no")</f>
        <v>no</v>
      </c>
      <c r="D90" s="172" t="s">
        <v>533</v>
      </c>
      <c r="E90" s="175" t="s">
        <v>534</v>
      </c>
      <c r="F90" s="131"/>
      <c r="G90" s="131"/>
      <c r="H90" s="131"/>
      <c r="I90" s="131"/>
      <c r="J90" s="131"/>
      <c r="K90" s="132"/>
    </row>
    <row r="91" spans="2:12" s="521" customFormat="1" x14ac:dyDescent="0.25">
      <c r="B91" s="174"/>
      <c r="C91" s="176" t="str">
        <f>IF(AND(dms_Model="CA",(dms_060301_checkvalue="no")),"error - NR not present","no errors")</f>
        <v>no errors</v>
      </c>
      <c r="D91" s="172"/>
      <c r="E91" s="175" t="s">
        <v>535</v>
      </c>
      <c r="F91" s="131"/>
      <c r="G91" s="131"/>
      <c r="H91" s="131"/>
      <c r="I91" s="131"/>
      <c r="J91" s="131"/>
      <c r="K91" s="132"/>
    </row>
    <row r="92" spans="2:12" s="521" customFormat="1" x14ac:dyDescent="0.25">
      <c r="B92" s="177" t="s">
        <v>536</v>
      </c>
      <c r="C92" s="171" t="str">
        <f>IFERROR(IF(dms_Model="CA",LOOKUP(2,1/(dms_060301_Avg_Duration_Sustained_Int_Values&lt;&gt;""),(ROW(dms_060301_Avg_Duration_Sustained_Int_Values))),"not a CA"),"6.3 not present")</f>
        <v>not a CA</v>
      </c>
      <c r="D92" s="172" t="s">
        <v>537</v>
      </c>
      <c r="E92" s="175" t="s">
        <v>538</v>
      </c>
      <c r="F92" s="131"/>
      <c r="G92" s="131"/>
      <c r="H92" s="131"/>
      <c r="I92" s="131"/>
      <c r="J92" s="131"/>
      <c r="K92" s="132"/>
    </row>
    <row r="93" spans="2:12" s="521" customFormat="1" x14ac:dyDescent="0.25">
      <c r="B93" s="178" t="s">
        <v>539</v>
      </c>
      <c r="C93" s="179" t="str">
        <f>IFERROR(IF(dms_Model="CA",(dms_060301_LastRow-15),"not a CA"),"error")</f>
        <v>not a CA</v>
      </c>
      <c r="D93" s="180" t="s">
        <v>540</v>
      </c>
      <c r="E93" s="181" t="s">
        <v>541</v>
      </c>
      <c r="F93" s="169"/>
      <c r="G93" s="169"/>
      <c r="H93" s="169"/>
      <c r="I93" s="169"/>
      <c r="J93" s="169"/>
      <c r="K93" s="182"/>
      <c r="L93" s="127"/>
    </row>
    <row r="94" spans="2:12" ht="15.75" thickBot="1" x14ac:dyDescent="0.3">
      <c r="B94" s="183" t="s">
        <v>542</v>
      </c>
      <c r="C94" s="184" t="str">
        <f>INDEX(dms_663_List,MATCH(dms_TradingName,dms_TradingName_List))</f>
        <v>X</v>
      </c>
      <c r="D94" s="166" t="s">
        <v>543</v>
      </c>
      <c r="E94" s="175" t="s">
        <v>544</v>
      </c>
      <c r="F94" s="185"/>
      <c r="G94" s="185"/>
      <c r="H94" s="185"/>
      <c r="I94" s="185"/>
      <c r="J94" s="185"/>
      <c r="K94" s="186"/>
    </row>
    <row r="95" spans="2:12" s="521" customFormat="1" ht="21" customHeight="1" thickBot="1" x14ac:dyDescent="0.3">
      <c r="B95" s="152" t="s">
        <v>545</v>
      </c>
      <c r="C95" s="153"/>
      <c r="D95" s="153"/>
      <c r="E95" s="153"/>
      <c r="F95" s="156"/>
      <c r="G95" s="156"/>
      <c r="H95" s="156"/>
      <c r="I95" s="156"/>
      <c r="J95" s="156"/>
      <c r="K95" s="157"/>
    </row>
    <row r="96" spans="2:12" ht="25.5" x14ac:dyDescent="0.25">
      <c r="B96" s="170" t="s">
        <v>546</v>
      </c>
      <c r="C96" s="187" t="s">
        <v>547</v>
      </c>
      <c r="D96" s="188"/>
      <c r="E96" s="189" t="s">
        <v>548</v>
      </c>
      <c r="F96" s="190"/>
      <c r="G96" s="190"/>
      <c r="H96" s="185"/>
      <c r="I96" s="185"/>
      <c r="J96" s="185"/>
      <c r="K96" s="186"/>
    </row>
    <row r="97" spans="1:12" x14ac:dyDescent="0.25">
      <c r="B97" s="177" t="s">
        <v>549</v>
      </c>
      <c r="C97" s="187" t="str">
        <f>IFERROR(IF(dms_LeapYear,"yes"),"no")</f>
        <v>no</v>
      </c>
      <c r="D97" s="188"/>
      <c r="E97" s="191"/>
      <c r="F97" s="190"/>
      <c r="G97" s="190"/>
      <c r="H97" s="185"/>
      <c r="I97" s="185"/>
      <c r="J97" s="185"/>
      <c r="K97" s="186"/>
    </row>
    <row r="98" spans="1:12" x14ac:dyDescent="0.25">
      <c r="B98" s="192" t="s">
        <v>550</v>
      </c>
      <c r="C98" s="193" t="str">
        <f xml:space="preserve">
IFERROR(IF(MONTH(DATE(YEAR(dms_LeapYear),2,29))=2,"is a leap year","not a leap year"),
"dms_LeapYear not present")</f>
        <v>dms_LeapYear not present</v>
      </c>
      <c r="D98" s="166" t="s">
        <v>551</v>
      </c>
      <c r="E98" s="166" t="s">
        <v>552</v>
      </c>
      <c r="F98" s="185"/>
      <c r="G98" s="185"/>
      <c r="H98" s="185"/>
      <c r="I98" s="185"/>
      <c r="J98" s="185"/>
      <c r="K98" s="186"/>
    </row>
    <row r="99" spans="1:12" x14ac:dyDescent="0.25">
      <c r="B99" s="192" t="s">
        <v>553</v>
      </c>
      <c r="C99" s="194">
        <f>IF(dms_LeapYear_Result="is a leap year",1827,1826)</f>
        <v>1826</v>
      </c>
      <c r="D99" s="166" t="s">
        <v>554</v>
      </c>
      <c r="E99" s="167" t="s">
        <v>555</v>
      </c>
      <c r="F99" s="185"/>
      <c r="G99" s="185"/>
      <c r="H99" s="137" t="s">
        <v>556</v>
      </c>
      <c r="I99" s="185"/>
      <c r="J99" s="185"/>
      <c r="K99" s="186"/>
    </row>
    <row r="100" spans="1:12" x14ac:dyDescent="0.25">
      <c r="B100" s="192" t="s">
        <v>557</v>
      </c>
      <c r="C100" s="194">
        <f>IF(dms_LeapYear_Result="is a leap year",366,365)</f>
        <v>365</v>
      </c>
      <c r="D100" s="166" t="s">
        <v>558</v>
      </c>
      <c r="E100" s="167" t="s">
        <v>559</v>
      </c>
      <c r="F100" s="185"/>
      <c r="G100" s="185"/>
      <c r="H100" s="137" t="s">
        <v>560</v>
      </c>
      <c r="I100" s="185"/>
      <c r="J100" s="185"/>
      <c r="K100" s="186"/>
    </row>
    <row r="101" spans="1:12" ht="15.75" thickBot="1" x14ac:dyDescent="0.3">
      <c r="B101" s="195" t="s">
        <v>561</v>
      </c>
      <c r="C101" s="196">
        <f>IF(dms_Model="ARR",dms_060701_ARR_MaxRows,IF(dms_Model="Reset",dms_060701_Reset_MaxRows,"not a relevant RIN type"))</f>
        <v>365</v>
      </c>
      <c r="D101" s="197" t="s">
        <v>562</v>
      </c>
      <c r="E101" s="198" t="s">
        <v>563</v>
      </c>
      <c r="F101" s="199"/>
      <c r="G101" s="199"/>
      <c r="H101" s="199"/>
      <c r="I101" s="199"/>
      <c r="J101" s="199"/>
      <c r="K101" s="200"/>
    </row>
    <row r="102" spans="1:12" s="208" customFormat="1" ht="24" customHeight="1" x14ac:dyDescent="0.25">
      <c r="A102" s="207"/>
      <c r="B102" s="201" t="s">
        <v>564</v>
      </c>
      <c r="C102" s="202" t="str">
        <f>IF(dms_FifthFeeder_flag_NSP="NO","This NSP has only 4 feeder categories","This NSP has 5 feeder categories")</f>
        <v>This NSP has only 4 feeder categories</v>
      </c>
      <c r="D102" s="203"/>
      <c r="E102" s="204"/>
      <c r="F102" s="205"/>
      <c r="G102" s="205"/>
      <c r="H102" s="205"/>
      <c r="I102" s="205"/>
      <c r="J102" s="205"/>
      <c r="K102" s="206"/>
      <c r="L102" s="207"/>
    </row>
    <row r="103" spans="1:12" x14ac:dyDescent="0.25">
      <c r="B103" s="177" t="s">
        <v>565</v>
      </c>
      <c r="C103" s="209">
        <f>IF(dms_FifthFeeder_flag_NSP="NO",10,12)</f>
        <v>10</v>
      </c>
      <c r="D103" s="166" t="s">
        <v>566</v>
      </c>
      <c r="E103" s="175" t="s">
        <v>567</v>
      </c>
      <c r="F103" s="185"/>
      <c r="G103" s="185"/>
      <c r="H103" s="185"/>
      <c r="I103" s="185"/>
      <c r="J103" s="185"/>
      <c r="K103" s="186"/>
    </row>
    <row r="104" spans="1:12" x14ac:dyDescent="0.25">
      <c r="B104" s="178" t="s">
        <v>568</v>
      </c>
      <c r="C104" s="211">
        <f>IF(dms_Model="ARR",15,9)</f>
        <v>15</v>
      </c>
      <c r="D104" s="168" t="s">
        <v>569</v>
      </c>
      <c r="E104" s="212" t="s">
        <v>570</v>
      </c>
      <c r="F104" s="213"/>
      <c r="G104" s="213"/>
      <c r="H104" s="213"/>
      <c r="I104" s="213"/>
      <c r="J104" s="213"/>
      <c r="K104" s="214"/>
    </row>
    <row r="105" spans="1:12" x14ac:dyDescent="0.25">
      <c r="B105" s="170" t="s">
        <v>571</v>
      </c>
      <c r="C105" s="215"/>
      <c r="D105" s="216"/>
      <c r="E105" s="141" t="s">
        <v>572</v>
      </c>
      <c r="F105" s="185"/>
      <c r="G105" s="185"/>
      <c r="H105" s="185"/>
      <c r="I105" s="185"/>
      <c r="J105" s="185"/>
      <c r="K105" s="186"/>
    </row>
    <row r="106" spans="1:12" x14ac:dyDescent="0.25">
      <c r="B106" s="177" t="s">
        <v>573</v>
      </c>
      <c r="C106" s="215" t="str">
        <f>IF(dms_SingleYearModel="yes",(CONCATENATE(IF(LEN(CRY)=4,"1-Jan-","1-Jul-"),LEFT(CRY,4))),(CONCATENATE(IF(LEN(PRCP_y4)=4,"1-Jan-","1-Jul-"),LEFT(PRCP_y4,4))))</f>
        <v>1-Jan-2011</v>
      </c>
      <c r="D106" s="166" t="s">
        <v>387</v>
      </c>
      <c r="E106" s="173" t="s">
        <v>574</v>
      </c>
      <c r="F106" s="185"/>
      <c r="G106" s="185"/>
      <c r="H106" s="185"/>
      <c r="I106" s="185"/>
      <c r="J106" s="185"/>
      <c r="K106" s="186"/>
    </row>
    <row r="107" spans="1:12" ht="15.75" thickBot="1" x14ac:dyDescent="0.3">
      <c r="B107" s="217" t="s">
        <v>575</v>
      </c>
      <c r="C107" s="218">
        <f>DATEVALUE(dms_060701_StartDateTxt)</f>
        <v>40544</v>
      </c>
      <c r="D107" s="219" t="s">
        <v>576</v>
      </c>
      <c r="E107" s="220" t="s">
        <v>577</v>
      </c>
      <c r="F107" s="221"/>
      <c r="G107" s="221"/>
      <c r="H107" s="221"/>
      <c r="I107" s="221"/>
      <c r="J107" s="221"/>
      <c r="K107" s="222"/>
      <c r="L107" s="127"/>
    </row>
    <row r="108" spans="1:12" s="521" customFormat="1" ht="15.75" thickBot="1" x14ac:dyDescent="0.3">
      <c r="B108" s="152" t="s">
        <v>578</v>
      </c>
      <c r="C108" s="153"/>
      <c r="D108" s="153"/>
      <c r="E108" s="153"/>
      <c r="F108" s="156"/>
      <c r="G108" s="156"/>
      <c r="H108" s="156"/>
      <c r="I108" s="156"/>
      <c r="J108" s="156"/>
      <c r="K108" s="157"/>
    </row>
    <row r="109" spans="1:12" ht="38.25" x14ac:dyDescent="0.25">
      <c r="B109" s="223" t="s">
        <v>579</v>
      </c>
      <c r="C109" s="187" t="s">
        <v>580</v>
      </c>
      <c r="D109" s="141"/>
      <c r="E109" s="141" t="s">
        <v>581</v>
      </c>
      <c r="F109" s="224"/>
      <c r="G109" s="224"/>
      <c r="H109" s="224"/>
      <c r="I109" s="224"/>
      <c r="J109" s="224"/>
      <c r="K109" s="225"/>
      <c r="L109" s="127"/>
    </row>
    <row r="110" spans="1:12" x14ac:dyDescent="0.25">
      <c r="B110" s="170" t="s">
        <v>582</v>
      </c>
      <c r="C110" s="187" t="s">
        <v>583</v>
      </c>
      <c r="D110" s="226"/>
      <c r="E110" s="175" t="s">
        <v>584</v>
      </c>
      <c r="F110" s="185"/>
      <c r="G110" s="185"/>
      <c r="H110" s="185"/>
      <c r="I110" s="185"/>
      <c r="J110" s="185"/>
      <c r="K110" s="186"/>
      <c r="L110" s="127"/>
    </row>
    <row r="111" spans="1:12" x14ac:dyDescent="0.25">
      <c r="B111" s="177" t="s">
        <v>585</v>
      </c>
      <c r="C111" s="215">
        <v>12</v>
      </c>
      <c r="D111" s="166" t="s">
        <v>586</v>
      </c>
      <c r="E111" s="175" t="s">
        <v>587</v>
      </c>
      <c r="F111" s="185"/>
      <c r="G111" s="185"/>
      <c r="H111" s="185"/>
      <c r="I111" s="185"/>
      <c r="J111" s="185"/>
      <c r="K111" s="186"/>
    </row>
    <row r="112" spans="1:12" x14ac:dyDescent="0.25">
      <c r="B112" s="177" t="s">
        <v>588</v>
      </c>
      <c r="C112" s="227" t="s">
        <v>659</v>
      </c>
      <c r="D112" s="166" t="s">
        <v>589</v>
      </c>
      <c r="E112" s="167" t="s">
        <v>66</v>
      </c>
      <c r="F112" s="185"/>
      <c r="G112" s="185"/>
      <c r="H112" s="185"/>
      <c r="I112" s="185"/>
      <c r="J112" s="185"/>
      <c r="K112" s="186"/>
    </row>
    <row r="113" spans="2:11" ht="15.75" thickBot="1" x14ac:dyDescent="0.3">
      <c r="B113" s="217" t="s">
        <v>590</v>
      </c>
      <c r="C113" s="228">
        <f>IFERROR(IF(dms_Model="ARR",(MAX(0,dms_0608_LastRow-dms_0608_OffsetRows)),"not an ARR"),"0")</f>
        <v>0</v>
      </c>
      <c r="D113" s="219" t="s">
        <v>591</v>
      </c>
      <c r="E113" s="229" t="s">
        <v>67</v>
      </c>
      <c r="F113" s="230"/>
      <c r="G113" s="221"/>
      <c r="H113" s="221"/>
      <c r="I113" s="221"/>
      <c r="J113" s="221"/>
      <c r="K113" s="222"/>
    </row>
    <row r="114" spans="2:11" s="521" customFormat="1" ht="15.75" thickBot="1" x14ac:dyDescent="0.3">
      <c r="B114" s="152" t="s">
        <v>592</v>
      </c>
      <c r="C114" s="153"/>
      <c r="D114" s="153"/>
      <c r="E114" s="153"/>
      <c r="F114" s="156"/>
      <c r="G114" s="156"/>
      <c r="H114" s="156"/>
      <c r="I114" s="156"/>
      <c r="J114" s="156"/>
      <c r="K114" s="157"/>
    </row>
    <row r="115" spans="2:11" x14ac:dyDescent="0.25">
      <c r="B115" s="170" t="s">
        <v>593</v>
      </c>
      <c r="C115" s="231"/>
      <c r="D115" s="166"/>
      <c r="E115" s="175"/>
      <c r="F115" s="232"/>
      <c r="G115" s="185"/>
      <c r="H115" s="185"/>
      <c r="I115" s="185"/>
      <c r="J115" s="185"/>
      <c r="K115" s="186"/>
    </row>
    <row r="116" spans="2:11" x14ac:dyDescent="0.25">
      <c r="B116" s="177" t="s">
        <v>594</v>
      </c>
      <c r="C116" s="215" t="str">
        <f ca="1">LEFT(PRCP_y3,4)</f>
        <v>2003</v>
      </c>
      <c r="D116" s="166" t="s">
        <v>595</v>
      </c>
      <c r="E116" s="233" t="s">
        <v>596</v>
      </c>
      <c r="F116" s="185"/>
      <c r="G116" s="185"/>
      <c r="H116" s="185"/>
      <c r="I116" s="185"/>
      <c r="J116" s="185"/>
      <c r="K116" s="186"/>
    </row>
    <row r="117" spans="2:11" ht="15.75" thickBot="1" x14ac:dyDescent="0.3">
      <c r="B117" s="1165"/>
      <c r="C117" s="1166"/>
      <c r="D117" s="1167"/>
      <c r="E117" s="1168"/>
      <c r="F117" s="1169"/>
      <c r="G117" s="1169"/>
      <c r="H117" s="1169"/>
      <c r="I117" s="1169"/>
      <c r="J117" s="1169"/>
      <c r="K117" s="1170"/>
    </row>
    <row r="118" spans="2:11" s="521" customFormat="1" ht="15.75" thickBot="1" x14ac:dyDescent="0.3">
      <c r="B118" s="152" t="s">
        <v>600</v>
      </c>
      <c r="C118" s="153"/>
      <c r="D118" s="153"/>
      <c r="E118" s="153"/>
      <c r="F118" s="156"/>
      <c r="G118" s="156"/>
      <c r="H118" s="156"/>
      <c r="I118" s="156"/>
      <c r="J118" s="156"/>
      <c r="K118" s="157"/>
    </row>
    <row r="119" spans="2:11" s="521" customFormat="1" ht="14.25" customHeight="1" x14ac:dyDescent="0.25">
      <c r="B119" s="236" t="s">
        <v>601</v>
      </c>
      <c r="C119" s="237">
        <f>INDEX(dms_DeterminationRef_List,MATCH(dms_TradingName,dms_TradingName_List))</f>
        <v>0</v>
      </c>
      <c r="D119" s="238" t="s">
        <v>602</v>
      </c>
      <c r="E119" s="239"/>
      <c r="F119" s="240"/>
      <c r="G119" s="240"/>
      <c r="H119" s="240"/>
      <c r="I119" s="240"/>
      <c r="J119" s="240"/>
      <c r="K119" s="241"/>
    </row>
    <row r="120" spans="2:11" s="521" customFormat="1" ht="14.25" customHeight="1" x14ac:dyDescent="0.25">
      <c r="B120" s="242" t="s">
        <v>603</v>
      </c>
      <c r="C120" s="243" t="str">
        <f>INDEX(dms_Public_Lighting_List,MATCH(dms_TradingName,dms_TradingName_List))</f>
        <v>NO</v>
      </c>
      <c r="D120" s="244" t="s">
        <v>604</v>
      </c>
      <c r="E120" s="245" t="s">
        <v>605</v>
      </c>
      <c r="F120" s="246"/>
      <c r="G120" s="246"/>
      <c r="H120" s="246"/>
      <c r="I120" s="246"/>
      <c r="J120" s="246"/>
      <c r="K120" s="247"/>
    </row>
    <row r="121" spans="2:11" ht="15" customHeight="1" x14ac:dyDescent="0.25">
      <c r="B121" s="163" t="s">
        <v>606</v>
      </c>
      <c r="C121" s="164" t="str">
        <f>INDEX(dms_CBD_flag,MATCH(dms_TradingName,dms_TradingName_List))</f>
        <v>NO</v>
      </c>
      <c r="D121" s="158" t="s">
        <v>607</v>
      </c>
      <c r="E121" s="158"/>
      <c r="F121" s="248"/>
      <c r="G121" s="248"/>
      <c r="H121" s="248"/>
      <c r="I121" s="248"/>
      <c r="J121" s="248"/>
      <c r="K121" s="249"/>
    </row>
    <row r="122" spans="2:11" ht="15" customHeight="1" x14ac:dyDescent="0.25">
      <c r="B122" s="165" t="s">
        <v>608</v>
      </c>
      <c r="C122" s="134" t="str">
        <f>INDEX(dms_Urban_flag,MATCH(dms_TradingName,dms_TradingName_List))</f>
        <v>NO</v>
      </c>
      <c r="D122" s="135" t="s">
        <v>609</v>
      </c>
      <c r="E122" s="135"/>
      <c r="F122" s="140"/>
      <c r="G122" s="140"/>
      <c r="H122" s="140"/>
      <c r="I122" s="140"/>
      <c r="J122" s="140"/>
      <c r="K122" s="250"/>
    </row>
    <row r="123" spans="2:11" ht="15" customHeight="1" x14ac:dyDescent="0.25">
      <c r="B123" s="165" t="s">
        <v>610</v>
      </c>
      <c r="C123" s="134" t="str">
        <f>INDEX(dms_ShortRural_flag,MATCH(dms_TradingName,dms_TradingName_List))</f>
        <v>NO</v>
      </c>
      <c r="D123" s="135" t="s">
        <v>611</v>
      </c>
      <c r="E123" s="135"/>
      <c r="F123" s="140"/>
      <c r="G123" s="140"/>
      <c r="H123" s="140"/>
      <c r="I123" s="140"/>
      <c r="J123" s="140"/>
      <c r="K123" s="250"/>
    </row>
    <row r="124" spans="2:11" ht="15" customHeight="1" x14ac:dyDescent="0.25">
      <c r="B124" s="251" t="s">
        <v>612</v>
      </c>
      <c r="C124" s="252" t="str">
        <f>INDEX(dms_LongRural_flag,MATCH(dms_TradingName,dms_TradingName_List))</f>
        <v>NO</v>
      </c>
      <c r="D124" s="253" t="s">
        <v>613</v>
      </c>
      <c r="E124" s="253"/>
      <c r="F124" s="254"/>
      <c r="G124" s="254"/>
      <c r="H124" s="254"/>
      <c r="I124" s="254"/>
      <c r="J124" s="254"/>
      <c r="K124" s="255"/>
    </row>
    <row r="125" spans="2:11" ht="15.75" thickBot="1" x14ac:dyDescent="0.3">
      <c r="B125" s="256" t="s">
        <v>614</v>
      </c>
      <c r="C125" s="257" t="str">
        <f>INDEX(dms_FeederType_5_flag,MATCH(dms_TradingName,dms_TradingName_List))</f>
        <v>NO</v>
      </c>
      <c r="D125" s="219" t="s">
        <v>615</v>
      </c>
      <c r="E125" s="229" t="s">
        <v>616</v>
      </c>
      <c r="F125" s="258"/>
      <c r="G125" s="258"/>
      <c r="H125" s="258"/>
      <c r="I125" s="258"/>
      <c r="J125" s="258"/>
      <c r="K125" s="259"/>
    </row>
    <row r="126" spans="2:11" ht="15.75" thickBot="1" x14ac:dyDescent="0.3">
      <c r="B126" s="1165"/>
      <c r="C126" s="1166"/>
      <c r="D126" s="1167"/>
      <c r="E126" s="1168"/>
      <c r="F126" s="1169"/>
      <c r="G126" s="1169"/>
      <c r="H126" s="1169"/>
      <c r="I126" s="1169"/>
      <c r="J126" s="1169"/>
      <c r="K126" s="1170"/>
    </row>
    <row r="127" spans="2:11" s="521" customFormat="1" ht="15.75" thickBot="1" x14ac:dyDescent="0.3">
      <c r="B127" s="1171" t="s">
        <v>617</v>
      </c>
      <c r="C127" s="1172"/>
      <c r="D127" s="1172"/>
      <c r="E127" s="1172"/>
      <c r="F127" s="1173"/>
      <c r="G127" s="1173"/>
      <c r="H127" s="1173"/>
      <c r="I127" s="1173"/>
      <c r="J127" s="1173"/>
      <c r="K127" s="1174"/>
    </row>
    <row r="128" spans="2:11" ht="15.75" thickBot="1" x14ac:dyDescent="0.3">
      <c r="B128" s="260" t="s">
        <v>618</v>
      </c>
      <c r="C128" s="261" t="s">
        <v>122</v>
      </c>
      <c r="D128" s="262" t="s">
        <v>619</v>
      </c>
      <c r="E128" s="263" t="s">
        <v>620</v>
      </c>
      <c r="F128" s="264"/>
      <c r="G128" s="264"/>
      <c r="H128" s="264"/>
      <c r="I128" s="264"/>
      <c r="J128" s="264"/>
      <c r="K128" s="265"/>
    </row>
    <row r="129" spans="2:11" s="521" customFormat="1" ht="15.75" thickBot="1" x14ac:dyDescent="0.3"/>
    <row r="130" spans="2:11" s="521" customFormat="1" ht="15.75" thickBot="1" x14ac:dyDescent="0.3">
      <c r="B130" s="1171" t="s">
        <v>597</v>
      </c>
      <c r="C130" s="1172"/>
      <c r="D130" s="1172"/>
      <c r="E130" s="1172"/>
      <c r="F130" s="1173"/>
      <c r="G130" s="1173"/>
      <c r="H130" s="1173"/>
      <c r="I130" s="1173"/>
      <c r="J130" s="1173"/>
      <c r="K130" s="1174"/>
    </row>
    <row r="131" spans="2:11" x14ac:dyDescent="0.25">
      <c r="B131" s="133" t="s">
        <v>598</v>
      </c>
      <c r="C131" s="234" t="s">
        <v>122</v>
      </c>
      <c r="D131" s="135" t="s">
        <v>599</v>
      </c>
      <c r="E131" s="235"/>
      <c r="F131" s="144"/>
      <c r="G131" s="144"/>
      <c r="H131" s="144"/>
      <c r="I131" s="144"/>
      <c r="J131" s="144"/>
      <c r="K131" s="145"/>
    </row>
    <row r="132" spans="2:11" s="521" customFormat="1" x14ac:dyDescent="0.25"/>
    <row r="133" spans="2:11" ht="15.75" thickBot="1" x14ac:dyDescent="0.3">
      <c r="B133" s="1165"/>
      <c r="C133" s="1166"/>
      <c r="D133" s="1167"/>
      <c r="E133" s="1168"/>
      <c r="F133" s="1169"/>
      <c r="G133" s="1169"/>
      <c r="H133" s="1169"/>
      <c r="I133" s="1169"/>
      <c r="J133" s="1169"/>
      <c r="K133" s="1170"/>
    </row>
    <row r="134" spans="2:11" ht="15.75" thickBot="1" x14ac:dyDescent="0.3">
      <c r="B134" s="1175" t="s">
        <v>623</v>
      </c>
      <c r="C134" s="1176"/>
      <c r="D134" s="1176"/>
      <c r="E134" s="1176"/>
      <c r="F134" s="1177"/>
      <c r="G134" s="1177"/>
      <c r="H134" s="1177"/>
      <c r="I134" s="1177"/>
      <c r="J134" s="1177"/>
      <c r="K134" s="1178"/>
    </row>
    <row r="135" spans="2:11" x14ac:dyDescent="0.25">
      <c r="B135" s="271" t="s">
        <v>624</v>
      </c>
      <c r="C135" s="234" t="s">
        <v>1230</v>
      </c>
      <c r="D135" s="272" t="s">
        <v>625</v>
      </c>
      <c r="E135" s="273"/>
      <c r="F135" s="274"/>
      <c r="G135" s="274"/>
      <c r="H135" s="274"/>
      <c r="I135" s="274"/>
      <c r="J135" s="274"/>
      <c r="K135" s="275"/>
    </row>
    <row r="136" spans="2:11" x14ac:dyDescent="0.25">
      <c r="B136" s="276"/>
      <c r="C136" s="277" t="s">
        <v>626</v>
      </c>
      <c r="D136" s="278" t="s">
        <v>627</v>
      </c>
      <c r="E136" s="279"/>
      <c r="F136" s="280"/>
      <c r="G136" s="280"/>
      <c r="H136" s="280"/>
      <c r="I136" s="280"/>
      <c r="J136" s="280"/>
      <c r="K136" s="281"/>
    </row>
    <row r="137" spans="2:11" x14ac:dyDescent="0.25">
      <c r="B137" s="276"/>
      <c r="C137" s="282">
        <v>2011</v>
      </c>
      <c r="D137" s="283" t="s">
        <v>628</v>
      </c>
      <c r="E137" s="284"/>
      <c r="F137" s="285"/>
      <c r="G137" s="285"/>
      <c r="H137" s="285"/>
      <c r="I137" s="285"/>
      <c r="J137" s="285"/>
      <c r="K137" s="286"/>
    </row>
    <row r="138" spans="2:11" x14ac:dyDescent="0.25">
      <c r="B138" s="276"/>
      <c r="C138" s="282">
        <v>2012</v>
      </c>
      <c r="D138" s="283" t="s">
        <v>629</v>
      </c>
      <c r="E138" s="284"/>
      <c r="F138" s="285"/>
      <c r="G138" s="285"/>
      <c r="H138" s="285"/>
      <c r="I138" s="285"/>
      <c r="J138" s="285"/>
      <c r="K138" s="286"/>
    </row>
    <row r="139" spans="2:11" x14ac:dyDescent="0.25">
      <c r="B139" s="276"/>
      <c r="C139" s="282">
        <v>2013</v>
      </c>
      <c r="D139" s="283" t="s">
        <v>630</v>
      </c>
      <c r="E139" s="284"/>
      <c r="F139" s="285"/>
      <c r="G139" s="285"/>
      <c r="H139" s="285"/>
      <c r="I139" s="285"/>
      <c r="J139" s="285"/>
      <c r="K139" s="286"/>
    </row>
    <row r="140" spans="2:11" x14ac:dyDescent="0.25">
      <c r="B140" s="276"/>
      <c r="C140" s="282">
        <v>2014</v>
      </c>
      <c r="D140" s="283" t="s">
        <v>631</v>
      </c>
      <c r="E140" s="284"/>
      <c r="F140" s="285"/>
      <c r="G140" s="285"/>
      <c r="H140" s="285"/>
      <c r="I140" s="285"/>
      <c r="J140" s="285"/>
      <c r="K140" s="286"/>
    </row>
    <row r="141" spans="2:11" x14ac:dyDescent="0.25">
      <c r="B141" s="287"/>
      <c r="C141" s="288">
        <v>2015</v>
      </c>
      <c r="D141" s="289" t="s">
        <v>632</v>
      </c>
      <c r="E141" s="290"/>
      <c r="F141" s="291"/>
      <c r="G141" s="291"/>
      <c r="H141" s="291"/>
      <c r="I141" s="291"/>
      <c r="J141" s="291"/>
      <c r="K141" s="292"/>
    </row>
    <row r="142" spans="2:11" x14ac:dyDescent="0.25">
      <c r="B142" s="287"/>
      <c r="C142" s="288">
        <v>2016</v>
      </c>
      <c r="D142" s="289" t="s">
        <v>633</v>
      </c>
      <c r="E142" s="290"/>
      <c r="F142" s="291"/>
      <c r="G142" s="291"/>
      <c r="H142" s="291"/>
      <c r="I142" s="291"/>
      <c r="J142" s="291"/>
      <c r="K142" s="292"/>
    </row>
    <row r="143" spans="2:11" x14ac:dyDescent="0.25">
      <c r="B143" s="287"/>
      <c r="C143" s="288">
        <v>2017</v>
      </c>
      <c r="D143" s="289" t="s">
        <v>634</v>
      </c>
      <c r="E143" s="290"/>
      <c r="F143" s="291"/>
      <c r="G143" s="291"/>
      <c r="H143" s="291"/>
      <c r="I143" s="291"/>
      <c r="J143" s="291"/>
      <c r="K143" s="292"/>
    </row>
    <row r="144" spans="2:11" x14ac:dyDescent="0.25">
      <c r="B144" s="287"/>
      <c r="C144" s="288">
        <v>2018</v>
      </c>
      <c r="D144" s="289" t="s">
        <v>635</v>
      </c>
      <c r="E144" s="290"/>
      <c r="F144" s="291"/>
      <c r="G144" s="291"/>
      <c r="H144" s="291"/>
      <c r="I144" s="291"/>
      <c r="J144" s="291"/>
      <c r="K144" s="292"/>
    </row>
    <row r="145" spans="2:11" ht="15.75" thickBot="1" x14ac:dyDescent="0.3">
      <c r="B145" s="293"/>
      <c r="C145" s="294">
        <v>2019</v>
      </c>
      <c r="D145" s="295" t="s">
        <v>636</v>
      </c>
      <c r="E145" s="296"/>
      <c r="F145" s="297"/>
      <c r="G145" s="297"/>
      <c r="H145" s="297"/>
      <c r="I145" s="297"/>
      <c r="J145" s="297"/>
      <c r="K145" s="298"/>
    </row>
    <row r="146" spans="2:11" x14ac:dyDescent="0.25">
      <c r="B146" s="521"/>
      <c r="C146" s="521"/>
    </row>
    <row r="147" spans="2:11" x14ac:dyDescent="0.25">
      <c r="B147" s="521"/>
      <c r="C147" s="521"/>
    </row>
    <row r="148" spans="2:11" x14ac:dyDescent="0.25">
      <c r="B148" s="521"/>
      <c r="C148" s="521"/>
      <c r="D148" s="521"/>
      <c r="E148" s="521"/>
      <c r="F148" s="521"/>
      <c r="G148" s="521"/>
      <c r="H148" s="521"/>
      <c r="I148" s="521"/>
    </row>
    <row r="149" spans="2:11" x14ac:dyDescent="0.25">
      <c r="B149" s="521"/>
      <c r="C149" s="521"/>
      <c r="D149" s="521"/>
      <c r="E149" s="521"/>
      <c r="F149" s="521"/>
      <c r="G149" s="521"/>
      <c r="H149" s="521"/>
      <c r="I149" s="521"/>
    </row>
    <row r="150" spans="2:11" x14ac:dyDescent="0.25">
      <c r="B150" s="521"/>
      <c r="C150" s="521"/>
      <c r="D150" s="521"/>
      <c r="E150" s="521"/>
      <c r="F150" s="521"/>
      <c r="G150" s="521"/>
      <c r="H150" s="521"/>
      <c r="I150" s="521"/>
    </row>
    <row r="151" spans="2:11" x14ac:dyDescent="0.25">
      <c r="B151" s="521"/>
      <c r="C151" s="521"/>
      <c r="D151" s="521"/>
      <c r="E151" s="521"/>
      <c r="F151" s="521"/>
      <c r="G151" s="521"/>
      <c r="H151" s="521"/>
      <c r="I151" s="521"/>
    </row>
    <row r="152" spans="2:11" x14ac:dyDescent="0.25">
      <c r="B152" s="521"/>
      <c r="C152" s="521"/>
      <c r="D152" s="521"/>
      <c r="E152" s="521"/>
      <c r="F152" s="521"/>
      <c r="G152" s="521"/>
      <c r="H152" s="521"/>
      <c r="I152" s="521"/>
    </row>
  </sheetData>
  <dataConsolidate/>
  <mergeCells count="13">
    <mergeCell ref="B72:B74"/>
    <mergeCell ref="BQ33:CL33"/>
    <mergeCell ref="AL34:BG34"/>
    <mergeCell ref="BQ34:CL34"/>
    <mergeCell ref="A35:A60"/>
    <mergeCell ref="AL35:BG35"/>
    <mergeCell ref="BQ35:CL35"/>
    <mergeCell ref="AL33:BG33"/>
    <mergeCell ref="A12:A16"/>
    <mergeCell ref="E13:I13"/>
    <mergeCell ref="C15:E15"/>
    <mergeCell ref="A19:A26"/>
    <mergeCell ref="A27:A32"/>
  </mergeCells>
  <conditionalFormatting sqref="C24">
    <cfRule type="expression" dxfId="45" priority="13">
      <formula>SUM(dms_SingleYear_Model)&gt;0</formula>
    </cfRule>
  </conditionalFormatting>
  <conditionalFormatting sqref="C64">
    <cfRule type="expression" dxfId="44" priority="12">
      <formula>dms_MultiYear_Flag=1</formula>
    </cfRule>
  </conditionalFormatting>
  <conditionalFormatting sqref="B87">
    <cfRule type="expression" dxfId="43" priority="11">
      <formula>dms_Model="CA"</formula>
    </cfRule>
  </conditionalFormatting>
  <conditionalFormatting sqref="B85">
    <cfRule type="expression" dxfId="42" priority="10">
      <formula>dms_Model="EB"</formula>
    </cfRule>
  </conditionalFormatting>
  <conditionalFormatting sqref="B108">
    <cfRule type="expression" dxfId="41" priority="9">
      <formula>dms_Model="ARR"</formula>
    </cfRule>
  </conditionalFormatting>
  <conditionalFormatting sqref="B95">
    <cfRule type="expression" dxfId="40" priority="8">
      <formula>IF(OR(dms_Model="ARR",dms_Model="Reset"),"True")</formula>
    </cfRule>
  </conditionalFormatting>
  <conditionalFormatting sqref="C93">
    <cfRule type="cellIs" dxfId="39" priority="7" operator="equal">
      <formula>"error"</formula>
    </cfRule>
  </conditionalFormatting>
  <conditionalFormatting sqref="C131 C135">
    <cfRule type="cellIs" dxfId="38" priority="5" operator="equal">
      <formula>"YES"</formula>
    </cfRule>
  </conditionalFormatting>
  <conditionalFormatting sqref="C62">
    <cfRule type="cellIs" dxfId="37" priority="4" operator="equal">
      <formula>"YES"</formula>
    </cfRule>
  </conditionalFormatting>
  <conditionalFormatting sqref="B114">
    <cfRule type="expression" dxfId="36" priority="3">
      <formula>AND(dms_Model="Reset",dms_Segment="Transmission")</formula>
    </cfRule>
  </conditionalFormatting>
  <conditionalFormatting sqref="C80 C83">
    <cfRule type="cellIs" dxfId="35" priority="2" operator="greaterThan">
      <formula>0</formula>
    </cfRule>
  </conditionalFormatting>
  <conditionalFormatting sqref="C76">
    <cfRule type="cellIs" dxfId="34" priority="1" operator="greaterThan">
      <formula>0</formula>
    </cfRule>
  </conditionalFormatting>
  <dataValidations count="9">
    <dataValidation type="list" allowBlank="1" showInputMessage="1" showErrorMessage="1" sqref="C14">
      <formula1>dms_Confid_status_List</formula1>
    </dataValidation>
    <dataValidation type="list" allowBlank="1" showInputMessage="1" showErrorMessage="1" sqref="C128 C135 C131">
      <formula1>"YES, NO"</formula1>
    </dataValidation>
    <dataValidation allowBlank="1" showInputMessage="1" showErrorMessage="1" prompt="If this is a MultiRYE historical ABC RIN then this value is set from the value specified in cell C75 - otherwise it is taken from the values calculated in FRCP_y5 (or whichever is last relevant year)." sqref="C84"/>
    <dataValidation type="list" allowBlank="1" showInputMessage="1" showErrorMessage="1" promptTitle="Model" prompt="Make sure corresponding Source type is correctly selected !!!_x000a__x000a_eg: ABC=Reporting, Reset=Regulatory proposal  etc" sqref="C11">
      <formula1>dms_Model_List</formula1>
    </dataValidation>
    <dataValidation type="list" allowBlank="1" showInputMessage="1" showErrorMessage="1" sqref="C13">
      <formula1>dms_DataQuality_List</formula1>
    </dataValidation>
    <dataValidation type="list" allowBlank="1" showInputMessage="1" showErrorMessage="1" sqref="C23">
      <formula1>"Financial, Calendar, Other"</formula1>
    </dataValidation>
    <dataValidation type="list" allowBlank="1" showInputMessage="1" showErrorMessage="1" sqref="C25">
      <formula1>"Public, Confidential"</formula1>
    </dataValidation>
    <dataValidation type="list" allowBlank="1" showInputMessage="1" showErrorMessage="1" sqref="C18 C62">
      <formula1>"Yes, No"</formula1>
    </dataValidation>
    <dataValidation type="list" allowBlank="1" showInputMessage="1" showErrorMessage="1" sqref="C12">
      <formula1>dms_SourceList</formula1>
    </dataValidation>
  </dataValidations>
  <pageMargins left="0.25" right="0.25" top="0.75" bottom="0.75" header="0.3" footer="0.3"/>
  <pageSetup paperSize="9" scale="90" orientation="landscape" r:id="rId1"/>
  <customProperties>
    <customPr name="_pios_id" r:id="rId2"/>
    <customPr name="EpmWorksheetKeyString_GUID" r:id="rId3"/>
  </customProperties>
  <extLst>
    <ext xmlns:x14="http://schemas.microsoft.com/office/spreadsheetml/2009/9/main" uri="{78C0D931-6437-407d-A8EE-F0AAD7539E65}">
      <x14:conditionalFormattings>
        <x14:conditionalFormatting xmlns:xm="http://schemas.microsoft.com/office/excel/2006/main">
          <x14:cfRule type="containsText" priority="6" operator="containsText" id="{FCCB31AA-1E20-4072-8FC1-DFD00A15B126}">
            <xm:f>NOT(ISERROR(SEARCH("error - NR not present",C91)))</xm:f>
            <xm:f>"error - NR not present"</xm:f>
            <x14:dxf>
              <font>
                <color rgb="FF9C0006"/>
              </font>
              <fill>
                <patternFill>
                  <bgColor rgb="FFFFC7CE"/>
                </patternFill>
              </fill>
            </x14:dxf>
          </x14:cfRule>
          <xm:sqref>C91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39997558519241921"/>
  </sheetPr>
  <dimension ref="B1:O31"/>
  <sheetViews>
    <sheetView showGridLines="0" zoomScale="70" zoomScaleNormal="70" workbookViewId="0">
      <selection activeCell="A2" sqref="A2"/>
    </sheetView>
  </sheetViews>
  <sheetFormatPr defaultColWidth="9.140625" defaultRowHeight="28.5" x14ac:dyDescent="0.25"/>
  <cols>
    <col min="1" max="1" width="76.5703125" style="521" customWidth="1"/>
    <col min="2" max="2" width="59.7109375" style="533" customWidth="1"/>
    <col min="3" max="3" width="20.7109375" style="521" customWidth="1"/>
    <col min="4" max="4" width="73.28515625" style="521" customWidth="1"/>
    <col min="5" max="5" width="20.7109375" style="521" customWidth="1"/>
    <col min="6" max="6" width="15.7109375" style="521" customWidth="1"/>
    <col min="7" max="16384" width="9.140625" style="521"/>
  </cols>
  <sheetData>
    <row r="1" spans="2:15" s="534" customFormat="1" ht="209.25" customHeight="1" thickBot="1" x14ac:dyDescent="0.3">
      <c r="B1" s="533"/>
    </row>
    <row r="2" spans="2:15" s="534" customFormat="1" ht="39.75" customHeight="1" x14ac:dyDescent="0.25">
      <c r="B2" s="1587" t="str">
        <f>CONCATENATE(dms_Sector, " ", dms_Segment," Pipeline Service Provider")</f>
        <v>Gas Distribution Pipeline Service Provider</v>
      </c>
      <c r="C2" s="1588"/>
      <c r="D2" s="1588"/>
      <c r="E2" s="1589"/>
      <c r="F2" s="535"/>
    </row>
    <row r="3" spans="2:15" s="534" customFormat="1" ht="39.75" customHeight="1" x14ac:dyDescent="0.25">
      <c r="B3" s="1613" t="str">
        <f>IF(dms_Model="Reset","Regulatory Proposal RIN Template","Regulatory Reporting Statement - Historical Information")</f>
        <v>Regulatory Reporting Statement - Historical Information</v>
      </c>
      <c r="C3" s="1614"/>
      <c r="D3" s="1614"/>
      <c r="E3" s="1615"/>
      <c r="F3" s="535"/>
      <c r="L3" s="521"/>
      <c r="O3" s="521"/>
    </row>
    <row r="4" spans="2:15" s="534" customFormat="1" ht="49.5" customHeight="1" thickBot="1" x14ac:dyDescent="0.3">
      <c r="B4" s="1610" t="str">
        <f>CONCATENATE("This template is to be used by ",dms_TradingNameFull," to fulfil its reporting obligations to the AER.")</f>
        <v>This template is to be used by AusNet Gas Services to fulfil its reporting obligations to the AER.</v>
      </c>
      <c r="C4" s="1611"/>
      <c r="D4" s="1611"/>
      <c r="E4" s="1612"/>
      <c r="F4" s="536"/>
    </row>
    <row r="5" spans="2:15" s="552" customFormat="1" ht="44.25" customHeight="1" thickBot="1" x14ac:dyDescent="0.75">
      <c r="B5" s="1590" t="s">
        <v>755</v>
      </c>
      <c r="C5" s="1591"/>
      <c r="D5" s="1591"/>
      <c r="E5" s="1592"/>
      <c r="F5" s="551"/>
    </row>
    <row r="6" spans="2:15" s="534" customFormat="1" ht="114.75" customHeight="1" thickBot="1" x14ac:dyDescent="0.3">
      <c r="B6" s="537" t="s">
        <v>756</v>
      </c>
      <c r="C6" s="1593" t="s">
        <v>757</v>
      </c>
      <c r="D6" s="1594"/>
      <c r="E6" s="1595"/>
      <c r="F6" s="128"/>
    </row>
    <row r="7" spans="2:15" s="534" customFormat="1" ht="15" customHeight="1" thickBot="1" x14ac:dyDescent="0.3">
      <c r="B7" s="533"/>
      <c r="D7" s="128"/>
      <c r="E7" s="128"/>
      <c r="F7" s="128"/>
      <c r="G7" s="128"/>
    </row>
    <row r="8" spans="2:15" s="534" customFormat="1" ht="126.75" customHeight="1" x14ac:dyDescent="0.25">
      <c r="B8" s="1596" t="s">
        <v>758</v>
      </c>
      <c r="C8" s="1598" t="s">
        <v>759</v>
      </c>
      <c r="D8" s="1599"/>
      <c r="E8" s="538"/>
      <c r="F8" s="128"/>
      <c r="J8" s="539"/>
    </row>
    <row r="9" spans="2:15" s="534" customFormat="1" ht="100.5" customHeight="1" thickBot="1" x14ac:dyDescent="0.3">
      <c r="B9" s="1597"/>
      <c r="C9" s="1600" t="s">
        <v>760</v>
      </c>
      <c r="D9" s="1601"/>
      <c r="E9" s="1602"/>
      <c r="F9" s="128"/>
    </row>
    <row r="10" spans="2:15" s="534" customFormat="1" ht="15" customHeight="1" thickBot="1" x14ac:dyDescent="0.3">
      <c r="B10" s="533"/>
      <c r="D10" s="128"/>
      <c r="E10" s="128"/>
      <c r="F10" s="128"/>
      <c r="G10" s="128"/>
    </row>
    <row r="11" spans="2:15" s="534" customFormat="1" ht="200.25" customHeight="1" thickBot="1" x14ac:dyDescent="0.3">
      <c r="B11" s="537" t="s">
        <v>761</v>
      </c>
      <c r="C11" s="1616" t="s">
        <v>762</v>
      </c>
      <c r="D11" s="1617"/>
      <c r="E11" s="1618"/>
      <c r="F11" s="128"/>
      <c r="G11" s="128"/>
    </row>
    <row r="12" spans="2:15" s="534" customFormat="1" ht="15" customHeight="1" thickBot="1" x14ac:dyDescent="0.3">
      <c r="B12" s="533"/>
      <c r="D12" s="128"/>
      <c r="E12" s="128"/>
      <c r="F12" s="128"/>
      <c r="G12" s="128"/>
    </row>
    <row r="13" spans="2:15" s="534" customFormat="1" ht="144.75" customHeight="1" x14ac:dyDescent="0.25">
      <c r="B13" s="1596" t="s">
        <v>763</v>
      </c>
      <c r="C13" s="1619" t="s">
        <v>764</v>
      </c>
      <c r="D13" s="1620"/>
      <c r="E13" s="1621"/>
      <c r="F13" s="128"/>
    </row>
    <row r="14" spans="2:15" s="534" customFormat="1" ht="110.25" customHeight="1" x14ac:dyDescent="0.25">
      <c r="B14" s="1603"/>
      <c r="C14" s="1622" t="s">
        <v>765</v>
      </c>
      <c r="D14" s="1623"/>
      <c r="E14" s="540"/>
      <c r="F14" s="128"/>
    </row>
    <row r="15" spans="2:15" s="534" customFormat="1" ht="48.75" customHeight="1" thickBot="1" x14ac:dyDescent="0.3">
      <c r="B15" s="1597"/>
      <c r="C15" s="1624" t="s">
        <v>766</v>
      </c>
      <c r="D15" s="1625"/>
      <c r="E15" s="1626"/>
      <c r="F15" s="128"/>
    </row>
    <row r="16" spans="2:15" s="534" customFormat="1" ht="15" customHeight="1" thickBot="1" x14ac:dyDescent="0.3">
      <c r="B16" s="533"/>
      <c r="D16" s="128"/>
      <c r="E16" s="128"/>
      <c r="F16" s="128"/>
      <c r="G16" s="128"/>
    </row>
    <row r="17" spans="2:7" s="534" customFormat="1" ht="74.25" customHeight="1" thickBot="1" x14ac:dyDescent="0.3">
      <c r="B17" s="537" t="s">
        <v>767</v>
      </c>
      <c r="C17" s="1627" t="s">
        <v>768</v>
      </c>
      <c r="D17" s="1628"/>
      <c r="E17" s="1629"/>
      <c r="F17" s="128"/>
    </row>
    <row r="18" spans="2:7" s="534" customFormat="1" ht="15" customHeight="1" thickBot="1" x14ac:dyDescent="0.3">
      <c r="B18" s="533"/>
      <c r="D18" s="128"/>
      <c r="E18" s="128"/>
      <c r="F18" s="128"/>
      <c r="G18" s="128"/>
    </row>
    <row r="19" spans="2:7" s="534" customFormat="1" ht="27.75" customHeight="1" thickBot="1" x14ac:dyDescent="0.3">
      <c r="B19" s="1596" t="s">
        <v>769</v>
      </c>
      <c r="C19" s="1604"/>
      <c r="D19" s="1605"/>
      <c r="E19" s="1606"/>
      <c r="F19" s="128"/>
    </row>
    <row r="20" spans="2:7" s="534" customFormat="1" ht="24" customHeight="1" x14ac:dyDescent="0.25">
      <c r="B20" s="1603"/>
      <c r="C20" s="541"/>
      <c r="D20" s="542" t="s">
        <v>770</v>
      </c>
      <c r="E20" s="543"/>
      <c r="F20" s="128"/>
      <c r="G20" s="128"/>
    </row>
    <row r="21" spans="2:7" s="534" customFormat="1" ht="24" customHeight="1" x14ac:dyDescent="0.25">
      <c r="B21" s="1603"/>
      <c r="C21" s="541"/>
      <c r="D21" s="544" t="s">
        <v>771</v>
      </c>
      <c r="E21" s="543"/>
      <c r="F21" s="128"/>
      <c r="G21" s="128"/>
    </row>
    <row r="22" spans="2:7" s="534" customFormat="1" ht="24" customHeight="1" x14ac:dyDescent="0.25">
      <c r="B22" s="1603"/>
      <c r="C22" s="541"/>
      <c r="D22" s="545" t="s">
        <v>772</v>
      </c>
      <c r="E22" s="543"/>
      <c r="F22" s="128"/>
      <c r="G22" s="128"/>
    </row>
    <row r="23" spans="2:7" s="534" customFormat="1" ht="24" customHeight="1" thickBot="1" x14ac:dyDescent="0.3">
      <c r="B23" s="1603"/>
      <c r="C23" s="541"/>
      <c r="D23" s="546" t="s">
        <v>773</v>
      </c>
      <c r="E23" s="543"/>
      <c r="F23" s="128"/>
      <c r="G23" s="128"/>
    </row>
    <row r="24" spans="2:7" s="534" customFormat="1" ht="26.25" customHeight="1" x14ac:dyDescent="0.25">
      <c r="B24" s="1603"/>
      <c r="C24" s="541"/>
      <c r="D24" s="547" t="s">
        <v>774</v>
      </c>
      <c r="E24" s="543"/>
      <c r="F24" s="128"/>
      <c r="G24" s="128"/>
    </row>
    <row r="25" spans="2:7" s="534" customFormat="1" ht="21.75" customHeight="1" thickBot="1" x14ac:dyDescent="0.3">
      <c r="B25" s="1597"/>
      <c r="C25" s="548"/>
      <c r="D25" s="549"/>
      <c r="E25" s="550"/>
      <c r="F25" s="128"/>
      <c r="G25" s="128"/>
    </row>
    <row r="26" spans="2:7" s="534" customFormat="1" ht="15" customHeight="1" thickBot="1" x14ac:dyDescent="0.3">
      <c r="B26" s="533"/>
      <c r="D26" s="128"/>
      <c r="E26" s="128"/>
      <c r="F26" s="128"/>
      <c r="G26" s="128"/>
    </row>
    <row r="27" spans="2:7" s="534" customFormat="1" ht="105.75" customHeight="1" thickBot="1" x14ac:dyDescent="0.3">
      <c r="B27" s="537" t="s">
        <v>775</v>
      </c>
      <c r="C27" s="1607" t="s">
        <v>776</v>
      </c>
      <c r="D27" s="1608"/>
      <c r="E27" s="1609"/>
      <c r="F27" s="128"/>
    </row>
    <row r="28" spans="2:7" x14ac:dyDescent="0.25">
      <c r="C28" s="518"/>
      <c r="D28" s="518"/>
      <c r="E28" s="518"/>
    </row>
    <row r="29" spans="2:7" x14ac:dyDescent="0.25">
      <c r="C29" s="518"/>
      <c r="D29" s="518"/>
      <c r="E29" s="518"/>
    </row>
    <row r="30" spans="2:7" x14ac:dyDescent="0.25">
      <c r="C30" s="518"/>
      <c r="D30" s="518"/>
      <c r="E30" s="518"/>
    </row>
    <row r="31" spans="2:7" x14ac:dyDescent="0.25">
      <c r="C31" s="518"/>
      <c r="D31" s="518"/>
      <c r="E31" s="518"/>
    </row>
  </sheetData>
  <mergeCells count="17">
    <mergeCell ref="B19:B25"/>
    <mergeCell ref="C19:E19"/>
    <mergeCell ref="C27:E27"/>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0" orientation="portrait" horizontalDpi="0" verticalDpi="0" copies="0" r:id="rId1"/>
  <customProperties>
    <customPr name="_pios_id" r:id="rId2"/>
    <customPr name="EpmWorksheetKeyString_GUID" r:id="rId3"/>
  </customPropertie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249977111117893"/>
  </sheetPr>
  <dimension ref="A1:H36"/>
  <sheetViews>
    <sheetView showGridLines="0" topLeftCell="B2" zoomScale="115" zoomScaleNormal="115" workbookViewId="0">
      <selection activeCell="A2" sqref="A2"/>
    </sheetView>
  </sheetViews>
  <sheetFormatPr defaultColWidth="9.140625" defaultRowHeight="15" x14ac:dyDescent="0.25"/>
  <cols>
    <col min="1" max="1" width="48.5703125" style="523" customWidth="1"/>
    <col min="2" max="2" width="8.28515625" style="523" customWidth="1"/>
    <col min="3" max="3" width="39.28515625" style="523" customWidth="1"/>
    <col min="4" max="4" width="45.5703125" style="1379" customWidth="1"/>
    <col min="5" max="5" width="7" style="523" customWidth="1"/>
    <col min="6" max="7" width="9.140625" style="523"/>
    <col min="8" max="8" width="9.28515625" style="523" customWidth="1"/>
    <col min="9" max="16384" width="9.140625" style="523"/>
  </cols>
  <sheetData>
    <row r="1" spans="1:8" ht="18" x14ac:dyDescent="0.25">
      <c r="B1" s="1328" t="str">
        <f>IF(dms_MultiYear_ResponseFlag="Yes","REGULATORY REPORTING STATEMENT - HISTORICAL INFORMATION",INDEX(dms_Worksheet_List,MATCH(dms_Model,dms_Model_List)))</f>
        <v>REGULATORY REPORTING STATEMENT - HISTORICAL INFORMATION</v>
      </c>
      <c r="C1" s="1329"/>
      <c r="D1" s="1377"/>
      <c r="E1" s="1329"/>
    </row>
    <row r="2" spans="1:8" ht="18" x14ac:dyDescent="0.25">
      <c r="B2" s="1328" t="str">
        <f>INDEX(dms_TradingNameFull_List,MATCH(dms_TradingName,dms_TradingName_List))</f>
        <v>AusNet Gas Services</v>
      </c>
      <c r="C2" s="1328"/>
      <c r="D2" s="1378"/>
      <c r="E2" s="1328"/>
    </row>
    <row r="3" spans="1:8" ht="18" x14ac:dyDescent="0.25">
      <c r="B3" s="1330" t="str">
        <f>dms_Header_Span</f>
        <v>2011 to 2019</v>
      </c>
      <c r="C3" s="1330"/>
      <c r="D3" s="1377"/>
      <c r="E3" s="1330"/>
    </row>
    <row r="5" spans="1:8" ht="15.75" thickBot="1" x14ac:dyDescent="0.3"/>
    <row r="6" spans="1:8" x14ac:dyDescent="0.25">
      <c r="A6" s="521"/>
      <c r="B6" s="524"/>
      <c r="C6" s="525"/>
      <c r="D6" s="1380"/>
      <c r="E6" s="526"/>
    </row>
    <row r="7" spans="1:8" ht="21" x14ac:dyDescent="0.35">
      <c r="A7" s="521"/>
      <c r="B7" s="527"/>
      <c r="C7" s="1630" t="s">
        <v>750</v>
      </c>
      <c r="D7" s="1630"/>
      <c r="E7" s="528"/>
    </row>
    <row r="8" spans="1:8" ht="21" x14ac:dyDescent="0.35">
      <c r="A8" s="1365"/>
      <c r="B8" s="527"/>
      <c r="C8" s="1366"/>
      <c r="D8" s="1381"/>
      <c r="E8" s="528"/>
    </row>
    <row r="9" spans="1:8" x14ac:dyDescent="0.25">
      <c r="A9" s="1365"/>
      <c r="B9" s="527"/>
      <c r="C9" s="1376" t="s">
        <v>1293</v>
      </c>
      <c r="D9" s="1382" t="s">
        <v>1295</v>
      </c>
      <c r="E9" s="528"/>
    </row>
    <row r="10" spans="1:8" x14ac:dyDescent="0.25">
      <c r="A10" s="521"/>
      <c r="B10" s="527"/>
      <c r="C10" s="1367"/>
      <c r="D10" s="1383"/>
      <c r="E10" s="528"/>
    </row>
    <row r="11" spans="1:8" x14ac:dyDescent="0.25">
      <c r="B11" s="527"/>
      <c r="C11" s="1368" t="s">
        <v>754</v>
      </c>
      <c r="D11" s="1384" t="s">
        <v>859</v>
      </c>
      <c r="E11" s="528"/>
      <c r="G11"/>
      <c r="H11"/>
    </row>
    <row r="12" spans="1:8" x14ac:dyDescent="0.25">
      <c r="B12" s="527"/>
      <c r="C12" s="1369"/>
      <c r="D12" s="1385"/>
      <c r="E12" s="528"/>
      <c r="G12"/>
      <c r="H12"/>
    </row>
    <row r="13" spans="1:8" x14ac:dyDescent="0.25">
      <c r="B13" s="527"/>
      <c r="C13" s="1370" t="s">
        <v>637</v>
      </c>
      <c r="D13" s="1386" t="s">
        <v>860</v>
      </c>
      <c r="E13" s="528"/>
      <c r="G13"/>
      <c r="H13"/>
    </row>
    <row r="14" spans="1:8" x14ac:dyDescent="0.25">
      <c r="B14" s="527"/>
      <c r="C14" s="1370"/>
      <c r="D14" s="1386" t="s">
        <v>861</v>
      </c>
      <c r="E14" s="528"/>
      <c r="G14"/>
      <c r="H14"/>
    </row>
    <row r="15" spans="1:8" x14ac:dyDescent="0.25">
      <c r="B15" s="527"/>
      <c r="C15" s="1370"/>
      <c r="D15" s="1386" t="s">
        <v>862</v>
      </c>
      <c r="E15" s="528"/>
      <c r="G15"/>
      <c r="H15"/>
    </row>
    <row r="16" spans="1:8" customFormat="1" x14ac:dyDescent="0.25">
      <c r="A16" s="521"/>
      <c r="B16" s="529"/>
      <c r="C16" s="1369"/>
      <c r="D16" s="1385"/>
      <c r="E16" s="116"/>
    </row>
    <row r="17" spans="2:8" x14ac:dyDescent="0.25">
      <c r="B17" s="527"/>
      <c r="C17" s="1371" t="s">
        <v>751</v>
      </c>
      <c r="D17" s="1387" t="s">
        <v>1213</v>
      </c>
      <c r="E17" s="528"/>
      <c r="G17"/>
      <c r="H17"/>
    </row>
    <row r="18" spans="2:8" x14ac:dyDescent="0.25">
      <c r="B18" s="527"/>
      <c r="C18" s="1371"/>
      <c r="D18" s="1387" t="s">
        <v>863</v>
      </c>
      <c r="E18" s="528"/>
      <c r="G18"/>
      <c r="H18"/>
    </row>
    <row r="19" spans="2:8" s="521" customFormat="1" x14ac:dyDescent="0.25">
      <c r="B19" s="529"/>
      <c r="C19" s="1369"/>
      <c r="D19" s="1385"/>
      <c r="E19" s="116"/>
      <c r="G19"/>
      <c r="H19"/>
    </row>
    <row r="20" spans="2:8" x14ac:dyDescent="0.25">
      <c r="B20" s="527"/>
      <c r="C20" s="1372" t="s">
        <v>753</v>
      </c>
      <c r="D20" s="1388" t="s">
        <v>874</v>
      </c>
      <c r="E20" s="528"/>
      <c r="G20"/>
      <c r="H20"/>
    </row>
    <row r="21" spans="2:8" x14ac:dyDescent="0.25">
      <c r="B21" s="527"/>
      <c r="C21" s="1372"/>
      <c r="D21" s="1388" t="s">
        <v>875</v>
      </c>
      <c r="E21" s="528"/>
      <c r="G21"/>
      <c r="H21"/>
    </row>
    <row r="22" spans="2:8" x14ac:dyDescent="0.25">
      <c r="B22" s="527"/>
      <c r="C22" s="1373"/>
      <c r="D22" s="1388" t="s">
        <v>864</v>
      </c>
      <c r="E22" s="528"/>
      <c r="G22"/>
      <c r="H22"/>
    </row>
    <row r="23" spans="2:8" x14ac:dyDescent="0.25">
      <c r="B23" s="527"/>
      <c r="C23" s="1372"/>
      <c r="D23" s="1388" t="s">
        <v>865</v>
      </c>
      <c r="E23" s="528"/>
      <c r="G23"/>
      <c r="H23"/>
    </row>
    <row r="24" spans="2:8" x14ac:dyDescent="0.25">
      <c r="B24" s="527"/>
      <c r="C24" s="1372"/>
      <c r="D24" s="1388" t="s">
        <v>866</v>
      </c>
      <c r="E24" s="528"/>
      <c r="G24"/>
      <c r="H24"/>
    </row>
    <row r="25" spans="2:8" s="521" customFormat="1" x14ac:dyDescent="0.25">
      <c r="B25" s="529"/>
      <c r="C25" s="1369"/>
      <c r="D25" s="1385"/>
      <c r="E25" s="116"/>
      <c r="G25"/>
      <c r="H25"/>
    </row>
    <row r="26" spans="2:8" x14ac:dyDescent="0.25">
      <c r="B26" s="527"/>
      <c r="C26" s="1374" t="s">
        <v>752</v>
      </c>
      <c r="D26" s="1384" t="s">
        <v>867</v>
      </c>
      <c r="E26" s="528"/>
      <c r="G26"/>
      <c r="H26"/>
    </row>
    <row r="27" spans="2:8" x14ac:dyDescent="0.25">
      <c r="B27" s="527"/>
      <c r="C27" s="1374"/>
      <c r="D27" s="1384" t="s">
        <v>868</v>
      </c>
      <c r="E27" s="528"/>
      <c r="G27"/>
      <c r="H27"/>
    </row>
    <row r="28" spans="2:8" x14ac:dyDescent="0.25">
      <c r="B28" s="527"/>
      <c r="C28" s="1374"/>
      <c r="D28" s="1384" t="s">
        <v>869</v>
      </c>
      <c r="E28" s="528"/>
      <c r="G28"/>
      <c r="H28"/>
    </row>
    <row r="29" spans="2:8" x14ac:dyDescent="0.25">
      <c r="B29" s="527"/>
      <c r="C29" s="1374"/>
      <c r="D29" s="1384" t="s">
        <v>870</v>
      </c>
      <c r="E29" s="528"/>
      <c r="G29"/>
      <c r="H29"/>
    </row>
    <row r="30" spans="2:8" x14ac:dyDescent="0.25">
      <c r="B30" s="527"/>
      <c r="C30" s="1374"/>
      <c r="D30" s="1384" t="s">
        <v>871</v>
      </c>
      <c r="E30" s="528"/>
      <c r="G30"/>
      <c r="H30"/>
    </row>
    <row r="31" spans="2:8" x14ac:dyDescent="0.25">
      <c r="B31" s="527"/>
      <c r="C31" s="1374"/>
      <c r="D31" s="1384" t="s">
        <v>872</v>
      </c>
      <c r="E31" s="528"/>
      <c r="G31" s="1293"/>
      <c r="H31" s="1293"/>
    </row>
    <row r="32" spans="2:8" x14ac:dyDescent="0.25">
      <c r="B32" s="527"/>
      <c r="C32" s="1374"/>
      <c r="D32" s="1384" t="s">
        <v>873</v>
      </c>
      <c r="E32" s="528"/>
      <c r="G32" s="1293"/>
      <c r="H32" s="1293"/>
    </row>
    <row r="33" spans="2:5" x14ac:dyDescent="0.25">
      <c r="B33" s="527"/>
      <c r="C33" s="1374"/>
      <c r="D33" s="1384" t="s">
        <v>1207</v>
      </c>
      <c r="E33" s="528"/>
    </row>
    <row r="34" spans="2:5" x14ac:dyDescent="0.25">
      <c r="B34" s="527"/>
      <c r="C34" s="319"/>
      <c r="D34" s="1389"/>
      <c r="E34" s="528"/>
    </row>
    <row r="35" spans="2:5" x14ac:dyDescent="0.25">
      <c r="B35" s="527"/>
      <c r="C35" s="1375" t="s">
        <v>1227</v>
      </c>
      <c r="D35" s="1390" t="s">
        <v>1228</v>
      </c>
      <c r="E35" s="528"/>
    </row>
    <row r="36" spans="2:5" ht="15.75" thickBot="1" x14ac:dyDescent="0.3">
      <c r="B36" s="530"/>
      <c r="C36" s="531"/>
      <c r="D36" s="1391"/>
      <c r="E36" s="532"/>
    </row>
  </sheetData>
  <mergeCells count="1">
    <mergeCell ref="C7:D7"/>
  </mergeCells>
  <hyperlinks>
    <hyperlink ref="D11" location="'Business &amp; other details'!A1" display="'Business &amp; other details'!A1"/>
    <hyperlink ref="D13" location="'E1. Expenditure Summary'!A1" display="'E1. Expenditure Summary'!A1"/>
    <hyperlink ref="D14" location="'E11. Labour'!A1" display="'E11. Labour'!A1"/>
    <hyperlink ref="D15" location="'E21. ARS'!A1" display="'E21. ARS'!A1"/>
    <hyperlink ref="D18" location="'N2. Network characteristics'!A1" display="N2. Network characteristcs"/>
    <hyperlink ref="D20" location="'S1.1. Customer numbers'!A1" display="S1.1. Customer numbers - by customer type"/>
    <hyperlink ref="D21" location="'S1.2. Customer numbers'!A1" display="S1.2. Customer numbers - by tariff"/>
    <hyperlink ref="D22" location="'S10. Supply quality'!A1" display="'S10. Supply quality'!A1"/>
    <hyperlink ref="D23" location="'S11. Network reliability'!A1" display="'S11. Network reliability'!A1"/>
    <hyperlink ref="D24" location="'S14. Network integrity'!A1" display="'S14. Network integrity'!A1"/>
    <hyperlink ref="D26" location="'F1. Income'!A1" display="'F1. Income'!A1"/>
    <hyperlink ref="D27" location="'F2. Capex'!A1" display="'F2. Capex'!A1"/>
    <hyperlink ref="D28" location="'F3. Revenue'!A1" display="'F3. Revenue'!A1"/>
    <hyperlink ref="D29" location="'F4. Opex'!A1" display="'F4. Opex'!A1"/>
    <hyperlink ref="D30" location="'F6. Related party transactions'!A1" display="'F6. Related party transactions'!A1"/>
    <hyperlink ref="D31" location="'F7. Provisions'!A1" display="'F7. Provisions'!A1"/>
    <hyperlink ref="D32" location="'F9. Pass throughs'!A1" display="'F9. Pass throughs'!A1"/>
    <hyperlink ref="D17" location="'N1. Demand'!A1" display="N1. Demand"/>
    <hyperlink ref="D33" location="'F10. Assets'!A1" display="F10. Assets"/>
    <hyperlink ref="D35" location="'Additional disclosures'!A1" display="Additional disclosures"/>
  </hyperlinks>
  <pageMargins left="0.7" right="0.7" top="0.75" bottom="0.75" header="0.3" footer="0.3"/>
  <pageSetup paperSize="9" orientation="portrait" r:id="rId1"/>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4" tint="-0.499984740745262"/>
  </sheetPr>
  <dimension ref="A1:CW82"/>
  <sheetViews>
    <sheetView showGridLines="0" tabSelected="1" topLeftCell="A7" zoomScale="80" zoomScaleNormal="80" workbookViewId="0">
      <selection activeCell="A2" sqref="A2"/>
    </sheetView>
  </sheetViews>
  <sheetFormatPr defaultColWidth="9.140625" defaultRowHeight="15" x14ac:dyDescent="0.25"/>
  <cols>
    <col min="1" max="96" width="2.7109375" style="521" customWidth="1"/>
    <col min="97" max="16384" width="9.140625" style="521"/>
  </cols>
  <sheetData>
    <row r="1" spans="1:96" ht="30" customHeight="1" x14ac:dyDescent="0.25">
      <c r="H1" s="1631"/>
      <c r="I1" s="1631"/>
      <c r="J1" s="1631"/>
      <c r="K1" s="1631"/>
      <c r="L1" s="1631"/>
      <c r="M1" s="1631"/>
      <c r="N1" s="1631"/>
      <c r="O1" s="1631"/>
      <c r="P1" s="1631"/>
      <c r="Q1" s="1179"/>
      <c r="R1" s="1179"/>
      <c r="S1" s="1179"/>
      <c r="T1" s="1179"/>
      <c r="U1" s="1179"/>
      <c r="V1" s="1182" t="str">
        <f>IF(dms_MultiYear_ResponseFlag="Yes","REGULATORY REPORTING STATEMENT - HISTORICAL INFORMATION",INDEX(dms_Worksheet_List,MATCH(dms_Model,dms_Model_List)))</f>
        <v>REGULATORY REPORTING STATEMENT - HISTORICAL INFORMATION</v>
      </c>
      <c r="W1" s="1285"/>
      <c r="X1" s="1285"/>
      <c r="Y1" s="1285"/>
      <c r="Z1" s="1285"/>
      <c r="AA1" s="1285"/>
      <c r="AB1" s="1285"/>
      <c r="AC1" s="1285"/>
      <c r="AD1" s="1285"/>
      <c r="AE1" s="1285"/>
      <c r="AF1" s="1285"/>
      <c r="AG1" s="1285"/>
      <c r="AH1" s="1285"/>
      <c r="AI1" s="1285"/>
      <c r="AJ1" s="1285"/>
      <c r="AK1" s="1285"/>
      <c r="AL1" s="1285"/>
      <c r="AM1" s="1285"/>
      <c r="AN1" s="1285"/>
      <c r="AO1" s="1285"/>
      <c r="AP1" s="1285"/>
      <c r="AQ1" s="1285"/>
      <c r="AR1" s="1285"/>
      <c r="AS1" s="1285"/>
      <c r="AT1" s="1285"/>
      <c r="AU1" s="1285"/>
      <c r="AV1" s="1285"/>
      <c r="AW1" s="1285"/>
      <c r="AX1" s="1285"/>
      <c r="AY1" s="1285"/>
      <c r="AZ1" s="1285"/>
      <c r="BA1" s="1285"/>
      <c r="BB1" s="1285"/>
      <c r="BC1" s="1285"/>
      <c r="BD1" s="1285"/>
      <c r="BE1" s="1285"/>
      <c r="BF1" s="1285"/>
      <c r="BG1" s="1285"/>
      <c r="BH1" s="1285"/>
      <c r="BI1" s="1182"/>
      <c r="BJ1" s="1182"/>
      <c r="BK1" s="1182"/>
      <c r="BL1" s="1182"/>
      <c r="BM1" s="1182"/>
      <c r="BN1" s="1182"/>
      <c r="BO1" s="1182"/>
      <c r="BP1" s="1182"/>
      <c r="BQ1" s="1182"/>
      <c r="BR1" s="1182"/>
      <c r="BS1" s="1182"/>
      <c r="BT1" s="1182"/>
      <c r="BU1" s="1182"/>
      <c r="BV1" s="1182"/>
      <c r="BW1" s="1182"/>
      <c r="BX1" s="1182"/>
      <c r="BY1" s="1182"/>
      <c r="BZ1" s="1182"/>
      <c r="CA1" s="1182"/>
      <c r="CB1" s="1182"/>
      <c r="CC1" s="1182"/>
      <c r="CD1" s="1182"/>
      <c r="CE1" s="1182"/>
      <c r="CF1" s="1182"/>
      <c r="CG1" s="1182"/>
      <c r="CH1" s="1182"/>
      <c r="CI1" s="1182"/>
      <c r="CJ1" s="1182"/>
      <c r="CK1" s="1182"/>
      <c r="CL1" s="1182"/>
      <c r="CM1" s="1182"/>
      <c r="CN1" s="1182"/>
      <c r="CO1" s="1182"/>
      <c r="CP1" s="1182"/>
    </row>
    <row r="2" spans="1:96" ht="30" customHeight="1" x14ac:dyDescent="0.25">
      <c r="H2" s="1631"/>
      <c r="I2" s="1631"/>
      <c r="J2" s="1631"/>
      <c r="K2" s="1631"/>
      <c r="L2" s="1631"/>
      <c r="M2" s="1631"/>
      <c r="N2" s="1631"/>
      <c r="O2" s="1631"/>
      <c r="P2" s="1631"/>
      <c r="Q2" s="1179"/>
      <c r="R2" s="1179"/>
      <c r="S2" s="1179"/>
      <c r="T2" s="1179"/>
      <c r="U2" s="1179"/>
      <c r="V2" s="1182" t="str">
        <f>INDEX(dms_TradingNameFull_List,MATCH(dms_TradingName,dms_TradingName_List))</f>
        <v>AusNet Gas Services</v>
      </c>
      <c r="W2" s="1182"/>
      <c r="X2" s="1182"/>
      <c r="Y2" s="1182"/>
      <c r="Z2" s="1182"/>
      <c r="AA2" s="1182"/>
      <c r="AB2" s="1182"/>
      <c r="AC2" s="1182"/>
      <c r="AD2" s="1182"/>
      <c r="AE2" s="1182"/>
      <c r="AF2" s="1182"/>
      <c r="AG2" s="1182"/>
      <c r="AH2" s="1182"/>
      <c r="AI2" s="1182"/>
      <c r="AJ2" s="1182"/>
      <c r="AK2" s="1182"/>
      <c r="AL2" s="1182"/>
      <c r="AM2" s="1182"/>
      <c r="AN2" s="1182"/>
      <c r="AO2" s="1182"/>
      <c r="AP2" s="1182"/>
      <c r="AQ2" s="1182"/>
      <c r="AR2" s="1182"/>
      <c r="AS2" s="1182"/>
      <c r="AT2" s="1182"/>
      <c r="AU2" s="1182"/>
      <c r="AV2" s="1182"/>
      <c r="AW2" s="1182"/>
      <c r="AX2" s="1182"/>
      <c r="AY2" s="1182"/>
      <c r="AZ2" s="1182"/>
      <c r="BA2" s="1182"/>
      <c r="BB2" s="1182"/>
      <c r="BC2" s="1182"/>
      <c r="BD2" s="1182"/>
      <c r="BE2" s="1182"/>
      <c r="BF2" s="1182"/>
      <c r="BG2" s="1182"/>
      <c r="BH2" s="1182"/>
      <c r="BI2" s="1182"/>
      <c r="BJ2" s="1182"/>
      <c r="BK2" s="1182"/>
      <c r="BL2" s="1182"/>
      <c r="BM2" s="1182"/>
      <c r="BN2" s="1182"/>
      <c r="BO2" s="1182"/>
      <c r="BP2" s="1182"/>
      <c r="BQ2" s="1182"/>
      <c r="BR2" s="1182"/>
      <c r="BS2" s="1182"/>
      <c r="BT2" s="1182"/>
      <c r="BU2" s="1182"/>
      <c r="BV2" s="1182"/>
      <c r="BW2" s="1182"/>
      <c r="BX2" s="1182"/>
      <c r="BY2" s="1182"/>
      <c r="BZ2" s="1182"/>
      <c r="CA2" s="1182"/>
      <c r="CB2" s="1182"/>
      <c r="CC2" s="1182"/>
      <c r="CD2" s="1182"/>
      <c r="CE2" s="1182"/>
      <c r="CF2" s="1182"/>
      <c r="CG2" s="1182"/>
      <c r="CH2" s="1182"/>
      <c r="CI2" s="1182"/>
      <c r="CJ2" s="1182"/>
      <c r="CK2" s="1182"/>
      <c r="CL2" s="1182"/>
      <c r="CM2" s="1182"/>
      <c r="CN2" s="1182"/>
      <c r="CO2" s="1182"/>
      <c r="CP2" s="1182"/>
    </row>
    <row r="3" spans="1:96" ht="30" customHeight="1" x14ac:dyDescent="0.25">
      <c r="H3" s="1631"/>
      <c r="I3" s="1631"/>
      <c r="J3" s="1631"/>
      <c r="K3" s="1631"/>
      <c r="L3" s="1631"/>
      <c r="M3" s="1631"/>
      <c r="N3" s="1631"/>
      <c r="O3" s="1631"/>
      <c r="P3" s="1631"/>
      <c r="Q3" s="1179"/>
      <c r="R3" s="1179"/>
      <c r="S3" s="1179"/>
      <c r="T3" s="1179"/>
      <c r="U3" s="1179"/>
      <c r="V3" s="1286" t="str">
        <f>dms_Header_Span</f>
        <v>2011 to 2019</v>
      </c>
      <c r="W3" s="1286"/>
      <c r="X3" s="1286"/>
      <c r="Y3" s="1286"/>
      <c r="Z3" s="1286"/>
      <c r="AA3" s="1286"/>
      <c r="AB3" s="1286"/>
      <c r="AC3" s="1286"/>
      <c r="AD3" s="1286"/>
      <c r="AE3" s="1286"/>
      <c r="AF3" s="1286"/>
      <c r="AG3" s="1286"/>
      <c r="AH3" s="1286"/>
      <c r="AI3" s="1286"/>
      <c r="AJ3" s="1286"/>
      <c r="AK3" s="1286"/>
      <c r="AL3" s="1286"/>
      <c r="AM3" s="1286"/>
      <c r="AN3" s="1286"/>
      <c r="AO3" s="1286"/>
      <c r="AP3" s="1286"/>
      <c r="AQ3" s="1286"/>
      <c r="AR3" s="1286"/>
      <c r="AS3" s="1286"/>
      <c r="AT3" s="1286"/>
      <c r="AU3" s="1286"/>
      <c r="AV3" s="1286"/>
      <c r="AW3" s="1286"/>
      <c r="AX3" s="1286"/>
      <c r="AY3" s="1286"/>
      <c r="AZ3" s="1286"/>
      <c r="BA3" s="1286"/>
      <c r="BB3" s="1286"/>
      <c r="BC3" s="1286"/>
      <c r="BD3" s="1286"/>
      <c r="BE3" s="1286"/>
      <c r="BF3" s="1286"/>
      <c r="BG3" s="1286"/>
      <c r="BH3" s="1286"/>
      <c r="BI3" s="1182"/>
      <c r="BJ3" s="1182"/>
      <c r="BK3" s="1182"/>
      <c r="BL3" s="1182"/>
      <c r="BM3" s="1182"/>
      <c r="BN3" s="1182"/>
      <c r="BO3" s="1182"/>
      <c r="BP3" s="1182"/>
      <c r="BQ3" s="1182"/>
      <c r="BR3" s="1182"/>
      <c r="BS3" s="1182"/>
      <c r="BT3" s="1182"/>
      <c r="BU3" s="1182"/>
      <c r="BV3" s="1182"/>
      <c r="BW3" s="1182"/>
      <c r="BX3" s="1182"/>
      <c r="BY3" s="1182"/>
      <c r="BZ3" s="1182"/>
      <c r="CA3" s="1182"/>
      <c r="CB3" s="1182"/>
      <c r="CC3" s="1182"/>
      <c r="CD3" s="1182"/>
      <c r="CE3" s="1182"/>
      <c r="CF3" s="1182"/>
      <c r="CG3" s="1182"/>
      <c r="CH3" s="1182"/>
      <c r="CI3" s="1182"/>
      <c r="CJ3" s="1182"/>
      <c r="CK3" s="1182"/>
      <c r="CL3" s="1182"/>
      <c r="CM3" s="1182"/>
      <c r="CN3" s="1182"/>
      <c r="CO3" s="1182"/>
      <c r="CP3" s="1182"/>
    </row>
    <row r="4" spans="1:96" ht="31.5" customHeight="1" x14ac:dyDescent="0.25">
      <c r="Q4" s="1183"/>
      <c r="R4" s="1183"/>
      <c r="S4" s="1183"/>
      <c r="T4" s="1183"/>
      <c r="U4" s="1183"/>
      <c r="V4" s="1632" t="s">
        <v>441</v>
      </c>
      <c r="W4" s="1632"/>
      <c r="X4" s="1632"/>
      <c r="Y4" s="1632"/>
      <c r="Z4" s="1632"/>
      <c r="AA4" s="1632"/>
      <c r="AB4" s="1632"/>
      <c r="AC4" s="1632"/>
      <c r="AD4" s="1632"/>
      <c r="AE4" s="1632"/>
      <c r="AF4" s="1632"/>
      <c r="AG4" s="1632"/>
      <c r="AH4" s="1632"/>
      <c r="AI4" s="1632"/>
      <c r="AJ4" s="1632"/>
      <c r="AK4" s="1632"/>
      <c r="AL4" s="1632"/>
      <c r="AM4" s="1632"/>
      <c r="AN4" s="1632"/>
      <c r="AO4" s="1632"/>
      <c r="AP4" s="1632"/>
      <c r="AQ4" s="1632"/>
      <c r="AR4" s="1632"/>
      <c r="AS4" s="1632"/>
      <c r="AT4" s="1632"/>
      <c r="AU4" s="1632"/>
      <c r="AV4" s="1632"/>
      <c r="AW4" s="1632"/>
      <c r="AX4" s="1632"/>
      <c r="AY4" s="1632"/>
      <c r="AZ4" s="1632"/>
      <c r="BA4" s="1632"/>
      <c r="BB4" s="1632"/>
      <c r="BC4" s="1632"/>
      <c r="BD4" s="1632"/>
      <c r="BE4" s="1632"/>
      <c r="BF4" s="1632"/>
      <c r="BG4" s="1183"/>
      <c r="BH4" s="1183"/>
      <c r="BI4" s="1183"/>
      <c r="BJ4" s="1183"/>
      <c r="BK4" s="1183"/>
      <c r="BL4" s="1183"/>
      <c r="BM4" s="1183"/>
      <c r="BN4" s="1183"/>
      <c r="BO4" s="1183"/>
      <c r="BP4" s="1183"/>
      <c r="BQ4" s="1183"/>
      <c r="BR4" s="1183"/>
      <c r="BS4" s="1183"/>
      <c r="BT4" s="1183"/>
      <c r="BU4" s="1183"/>
      <c r="BV4" s="1183"/>
      <c r="BW4" s="1183"/>
      <c r="BX4" s="1183"/>
      <c r="BY4" s="83"/>
      <c r="BZ4" s="83"/>
      <c r="CA4" s="83"/>
      <c r="CB4" s="83"/>
      <c r="CC4" s="83"/>
      <c r="CD4" s="83"/>
      <c r="CE4" s="83"/>
      <c r="CF4" s="83"/>
      <c r="CG4" s="83"/>
      <c r="CH4" s="83"/>
      <c r="CI4" s="83"/>
      <c r="CJ4" s="83"/>
      <c r="CK4" s="83"/>
      <c r="CL4" s="83"/>
      <c r="CM4" s="83"/>
      <c r="CN4" s="83"/>
      <c r="CO4" s="83"/>
      <c r="CP4" s="83"/>
    </row>
    <row r="6" spans="1:96" ht="20.25" x14ac:dyDescent="0.25">
      <c r="F6" s="1184"/>
      <c r="H6" s="1184"/>
      <c r="I6" s="1184"/>
      <c r="J6" s="1184"/>
      <c r="K6" s="1184"/>
      <c r="L6" s="1184"/>
      <c r="N6" s="1184"/>
      <c r="O6" s="1184"/>
      <c r="P6" s="1184"/>
      <c r="Q6" s="1185"/>
      <c r="R6" s="1185"/>
      <c r="S6" s="1185"/>
      <c r="T6" s="1185"/>
      <c r="U6" s="1185"/>
      <c r="V6" s="1186" t="s">
        <v>755</v>
      </c>
      <c r="W6" s="1187"/>
      <c r="X6" s="1187"/>
      <c r="Y6" s="1187"/>
      <c r="Z6" s="1187"/>
      <c r="AA6" s="1187"/>
      <c r="AB6" s="1187"/>
      <c r="AC6" s="1187"/>
      <c r="AD6" s="1187"/>
      <c r="AE6" s="1187"/>
      <c r="AF6" s="1187"/>
      <c r="AG6" s="1187"/>
      <c r="AH6" s="1187"/>
      <c r="AI6" s="1187"/>
      <c r="AJ6" s="1187"/>
      <c r="AK6" s="1187"/>
      <c r="AL6" s="1187"/>
      <c r="AM6" s="1187"/>
      <c r="AN6" s="1187"/>
      <c r="AO6" s="1187"/>
      <c r="AP6" s="1187"/>
      <c r="AQ6" s="1187"/>
      <c r="AR6" s="1187"/>
      <c r="AS6" s="1187"/>
      <c r="AT6" s="1187"/>
      <c r="AU6" s="1187"/>
      <c r="AV6" s="1187"/>
      <c r="AW6" s="1187"/>
      <c r="AX6" s="1187"/>
      <c r="AY6" s="1187"/>
      <c r="AZ6" s="1187"/>
      <c r="BA6" s="1187"/>
      <c r="BB6" s="1187"/>
      <c r="BC6" s="1187"/>
      <c r="BD6" s="1187"/>
      <c r="BE6" s="1187"/>
      <c r="BF6" s="1187"/>
      <c r="BG6" s="1187"/>
      <c r="BH6" s="1187"/>
      <c r="BI6" s="1187"/>
      <c r="BJ6" s="1187"/>
      <c r="BK6" s="1187"/>
      <c r="BL6" s="1187"/>
      <c r="BM6" s="1187"/>
      <c r="BN6" s="1187"/>
      <c r="BO6" s="1187"/>
      <c r="BP6" s="1187"/>
      <c r="BQ6" s="1187"/>
      <c r="BR6" s="1187"/>
      <c r="BS6" s="1187"/>
      <c r="BT6" s="1187"/>
      <c r="BU6" s="1187"/>
      <c r="BV6" s="1187"/>
      <c r="BW6" s="1187"/>
      <c r="BX6" s="1187"/>
      <c r="BY6" s="1185"/>
      <c r="BZ6" s="1185"/>
      <c r="CA6" s="1185"/>
      <c r="CB6" s="1185"/>
      <c r="CC6" s="1185"/>
      <c r="CD6" s="1185"/>
      <c r="CE6" s="1185"/>
      <c r="CF6" s="1185"/>
      <c r="CG6" s="1185"/>
      <c r="CH6" s="1185"/>
      <c r="CI6" s="1185"/>
      <c r="CJ6" s="1185"/>
      <c r="CK6" s="1185"/>
      <c r="CL6" s="1185"/>
      <c r="CM6" s="1185"/>
      <c r="CN6" s="1185"/>
      <c r="CO6" s="1185"/>
      <c r="CP6" s="1185"/>
    </row>
    <row r="7" spans="1:96" ht="50.25" customHeight="1" x14ac:dyDescent="0.25">
      <c r="H7" s="1184"/>
      <c r="I7" s="1184"/>
      <c r="J7" s="1184"/>
      <c r="K7" s="1184"/>
      <c r="L7" s="1184"/>
      <c r="M7" s="1184"/>
      <c r="N7" s="1184"/>
      <c r="O7" s="1184"/>
      <c r="P7" s="1184"/>
      <c r="Q7" s="1185"/>
      <c r="R7" s="1185"/>
      <c r="S7" s="1185"/>
      <c r="T7" s="1185"/>
      <c r="U7" s="1185"/>
      <c r="V7" s="1633" t="s">
        <v>1159</v>
      </c>
      <c r="W7" s="1633"/>
      <c r="X7" s="1633"/>
      <c r="Y7" s="1633"/>
      <c r="Z7" s="1633"/>
      <c r="AA7" s="1633"/>
      <c r="AB7" s="1633"/>
      <c r="AC7" s="1633"/>
      <c r="AD7" s="1633"/>
      <c r="AE7" s="1633"/>
      <c r="AF7" s="1633"/>
      <c r="AG7" s="1633"/>
      <c r="AH7" s="1633"/>
      <c r="AI7" s="1633"/>
      <c r="AJ7" s="1633"/>
      <c r="AK7" s="1633"/>
      <c r="AL7" s="1633"/>
      <c r="AM7" s="1633"/>
      <c r="AN7" s="1633"/>
      <c r="AO7" s="1633"/>
      <c r="AP7" s="1633"/>
      <c r="AQ7" s="1633"/>
      <c r="AR7" s="1633"/>
      <c r="AS7" s="1633"/>
      <c r="AT7" s="1633"/>
      <c r="AU7" s="1633"/>
      <c r="AV7" s="1633"/>
      <c r="AW7" s="1633"/>
      <c r="AX7" s="1633"/>
      <c r="AY7" s="1633"/>
      <c r="AZ7" s="1633"/>
      <c r="BA7" s="1633"/>
      <c r="BB7" s="1633"/>
      <c r="BC7" s="1633"/>
      <c r="BD7" s="1633"/>
      <c r="BE7" s="1633"/>
      <c r="BF7" s="1633"/>
      <c r="BG7" s="1633"/>
      <c r="BH7" s="1633"/>
      <c r="BI7" s="1633"/>
      <c r="BJ7" s="1633"/>
      <c r="BK7" s="1633"/>
      <c r="BL7" s="1633"/>
      <c r="BM7" s="1633"/>
      <c r="BN7" s="1633"/>
      <c r="BO7" s="1633"/>
      <c r="BP7" s="1633"/>
      <c r="BQ7" s="1633"/>
      <c r="BR7" s="1633"/>
      <c r="BS7" s="1633"/>
      <c r="BT7" s="1633"/>
      <c r="BU7" s="1633"/>
      <c r="BV7" s="1633"/>
      <c r="BW7" s="1633"/>
      <c r="BX7" s="1633"/>
      <c r="BY7" s="1185"/>
      <c r="BZ7" s="1185"/>
      <c r="CA7" s="1185"/>
      <c r="CB7" s="1185"/>
      <c r="CC7" s="1185"/>
      <c r="CD7" s="1185"/>
      <c r="CE7" s="1185"/>
      <c r="CF7" s="1185"/>
      <c r="CG7" s="1185"/>
      <c r="CH7" s="1185"/>
      <c r="CI7" s="1185"/>
      <c r="CJ7" s="1185"/>
      <c r="CK7" s="1185"/>
      <c r="CL7" s="1185"/>
      <c r="CM7" s="1185"/>
      <c r="CN7" s="1185"/>
      <c r="CO7" s="1185"/>
      <c r="CP7" s="1185"/>
    </row>
    <row r="8" spans="1:96" ht="20.25" x14ac:dyDescent="0.25">
      <c r="H8" s="1184"/>
      <c r="I8" s="1184"/>
      <c r="J8" s="1184"/>
      <c r="K8" s="1184"/>
      <c r="L8" s="1184"/>
      <c r="M8" s="1184"/>
      <c r="N8" s="1184"/>
      <c r="O8" s="1184"/>
      <c r="P8" s="1184"/>
      <c r="Q8" s="1184"/>
      <c r="R8" s="1184"/>
      <c r="S8" s="1184"/>
      <c r="T8" s="1184"/>
      <c r="U8" s="1184"/>
      <c r="V8" s="1188"/>
      <c r="W8" s="1188"/>
      <c r="X8" s="1188"/>
      <c r="Y8" s="1188"/>
      <c r="Z8" s="1188"/>
      <c r="AA8" s="1188"/>
      <c r="AB8" s="1188"/>
      <c r="AC8" s="1188"/>
      <c r="AD8" s="1188"/>
      <c r="AE8" s="1188"/>
      <c r="AF8" s="1188"/>
      <c r="AG8" s="1188"/>
      <c r="AH8" s="1188"/>
      <c r="AI8" s="1188"/>
      <c r="AJ8" s="1188"/>
      <c r="AK8" s="1188"/>
      <c r="AL8" s="1188"/>
      <c r="AM8" s="1188"/>
      <c r="AN8" s="1188"/>
      <c r="AO8" s="1188"/>
      <c r="AP8" s="1188"/>
      <c r="AQ8" s="1188"/>
      <c r="AR8" s="1188"/>
      <c r="AS8" s="1188"/>
      <c r="AT8" s="1188"/>
      <c r="AU8" s="1188"/>
      <c r="AV8" s="1188"/>
      <c r="AW8" s="1188"/>
      <c r="AX8" s="1188"/>
      <c r="AY8" s="1188"/>
      <c r="AZ8" s="1188"/>
      <c r="BA8" s="1188"/>
      <c r="BB8" s="1188"/>
      <c r="BC8" s="1188"/>
      <c r="BD8" s="1188"/>
      <c r="BE8" s="1188"/>
      <c r="BF8" s="1188"/>
      <c r="BG8" s="1188"/>
      <c r="BH8" s="1188"/>
      <c r="BI8" s="1188"/>
      <c r="BJ8" s="1188"/>
      <c r="BK8" s="1188"/>
      <c r="BL8" s="1188"/>
      <c r="BM8" s="1188"/>
      <c r="BN8" s="1188"/>
      <c r="BO8" s="1188"/>
      <c r="BP8" s="1188"/>
      <c r="BQ8" s="1188"/>
      <c r="BR8" s="1188"/>
      <c r="BS8" s="1188"/>
      <c r="BT8" s="1188"/>
      <c r="BU8" s="1188"/>
      <c r="BV8" s="1188"/>
      <c r="BW8" s="1188"/>
      <c r="BX8" s="1188"/>
      <c r="BY8" s="1184"/>
      <c r="BZ8" s="1184"/>
      <c r="CA8" s="1184"/>
      <c r="CB8" s="1184"/>
      <c r="CC8" s="1184"/>
      <c r="CD8" s="1184"/>
      <c r="CE8" s="1184"/>
      <c r="CF8" s="1184"/>
      <c r="CG8" s="1184"/>
      <c r="CH8" s="1184"/>
      <c r="CI8" s="1184"/>
      <c r="CJ8" s="1184"/>
      <c r="CK8" s="1184"/>
      <c r="CL8" s="1184"/>
      <c r="CM8" s="1184"/>
      <c r="CN8" s="1184"/>
      <c r="CO8" s="1184"/>
      <c r="CP8" s="1184"/>
    </row>
    <row r="9" spans="1:96" s="80" customFormat="1" ht="45" customHeight="1" x14ac:dyDescent="0.25">
      <c r="H9" s="1189"/>
      <c r="I9" s="1189"/>
      <c r="J9" s="1189"/>
      <c r="K9" s="1189"/>
      <c r="L9" s="1189"/>
      <c r="M9" s="1189"/>
      <c r="N9" s="1189"/>
      <c r="O9" s="1189"/>
      <c r="P9" s="1189"/>
      <c r="Q9" s="1634" t="s">
        <v>749</v>
      </c>
      <c r="R9" s="1634"/>
      <c r="S9" s="1634"/>
      <c r="T9" s="1634"/>
      <c r="U9" s="1634"/>
      <c r="V9" s="1634"/>
      <c r="W9" s="1634"/>
      <c r="X9" s="1634"/>
      <c r="Y9" s="1634"/>
      <c r="Z9" s="1634"/>
      <c r="AA9" s="1634"/>
      <c r="AB9" s="1634"/>
      <c r="AC9" s="1634"/>
      <c r="AD9" s="1634"/>
      <c r="AE9" s="1634"/>
      <c r="AF9" s="1634"/>
      <c r="AG9" s="1634"/>
      <c r="AH9" s="1634"/>
      <c r="AI9" s="1634"/>
      <c r="AJ9" s="1634"/>
      <c r="AK9" s="1634"/>
      <c r="AL9" s="1634"/>
      <c r="AM9" s="1634"/>
      <c r="AN9" s="1634"/>
      <c r="AO9" s="1634"/>
      <c r="AP9" s="1634"/>
      <c r="AQ9" s="1634"/>
      <c r="AR9" s="1634"/>
      <c r="AS9" s="1634"/>
      <c r="AT9" s="1634"/>
      <c r="AU9" s="1634"/>
      <c r="AV9" s="1634"/>
      <c r="AW9" s="1634"/>
      <c r="AX9" s="1634"/>
      <c r="AY9" s="1634"/>
      <c r="AZ9" s="1634"/>
      <c r="BA9" s="1634"/>
      <c r="BB9" s="1634"/>
      <c r="BC9" s="1634"/>
      <c r="BD9" s="1634"/>
      <c r="BE9" s="1634"/>
      <c r="BF9" s="1634"/>
      <c r="BG9" s="1634"/>
      <c r="BH9" s="1634"/>
      <c r="BI9" s="1634"/>
      <c r="BJ9" s="1634"/>
      <c r="BK9" s="1634"/>
      <c r="BL9" s="1634"/>
      <c r="BM9" s="1634"/>
      <c r="BN9" s="1634"/>
      <c r="BO9" s="1634"/>
      <c r="BP9" s="1634"/>
      <c r="BQ9" s="1634"/>
      <c r="BR9" s="1634"/>
      <c r="BS9" s="1634"/>
      <c r="BT9" s="1634"/>
      <c r="BU9" s="1634"/>
      <c r="BV9" s="1634"/>
      <c r="BW9" s="1634"/>
      <c r="BX9" s="1634"/>
      <c r="BY9" s="1634"/>
      <c r="BZ9" s="1634"/>
      <c r="CA9" s="1634"/>
      <c r="CB9" s="1634"/>
      <c r="CC9" s="1634"/>
      <c r="CD9" s="1634"/>
      <c r="CE9" s="1634"/>
      <c r="CF9" s="1634"/>
      <c r="CG9" s="1634"/>
      <c r="CH9" s="1634"/>
      <c r="CI9" s="1634"/>
      <c r="CJ9" s="1634"/>
      <c r="CK9" s="1634"/>
      <c r="CL9" s="1634"/>
      <c r="CM9" s="1634"/>
      <c r="CN9" s="1634"/>
      <c r="CO9" s="1634"/>
      <c r="CP9" s="1634"/>
      <c r="CQ9" s="521"/>
      <c r="CR9" s="521"/>
    </row>
    <row r="10" spans="1:96" x14ac:dyDescent="0.25">
      <c r="H10" s="518"/>
      <c r="I10" s="518"/>
      <c r="J10" s="518"/>
      <c r="K10" s="518"/>
      <c r="L10" s="518"/>
      <c r="M10" s="518"/>
      <c r="N10" s="518"/>
      <c r="O10" s="518"/>
      <c r="P10" s="518"/>
      <c r="Q10" s="518"/>
      <c r="R10" s="518"/>
      <c r="S10" s="518"/>
      <c r="T10" s="518"/>
      <c r="U10" s="518"/>
      <c r="V10" s="518"/>
      <c r="W10" s="518"/>
      <c r="X10" s="518"/>
      <c r="Y10" s="518"/>
      <c r="Z10" s="518"/>
      <c r="AA10" s="518"/>
      <c r="AB10" s="518"/>
      <c r="AC10" s="518"/>
      <c r="AD10" s="518"/>
      <c r="AE10" s="518"/>
      <c r="AF10" s="518"/>
      <c r="AG10" s="518"/>
      <c r="AH10" s="518"/>
      <c r="AI10" s="518"/>
      <c r="AJ10" s="518"/>
      <c r="AK10" s="518"/>
      <c r="AL10" s="518"/>
      <c r="AM10" s="518"/>
      <c r="AN10" s="518"/>
      <c r="AO10" s="518"/>
      <c r="AP10" s="518"/>
      <c r="AQ10" s="518"/>
      <c r="AR10" s="518"/>
      <c r="AS10" s="518"/>
      <c r="AT10" s="518"/>
      <c r="AU10" s="518"/>
      <c r="AV10" s="518"/>
      <c r="AW10" s="518"/>
      <c r="AX10" s="518"/>
      <c r="AY10" s="518"/>
      <c r="AZ10" s="518"/>
      <c r="BA10" s="518"/>
      <c r="BB10" s="518"/>
      <c r="BC10" s="518"/>
      <c r="BD10" s="518"/>
      <c r="BE10" s="518"/>
      <c r="BF10" s="518"/>
      <c r="BG10" s="518"/>
      <c r="BH10" s="518"/>
      <c r="BI10" s="518"/>
      <c r="BJ10" s="518"/>
      <c r="BK10" s="518"/>
      <c r="BL10" s="518"/>
      <c r="BM10" s="518"/>
      <c r="BN10" s="518"/>
      <c r="BO10" s="518"/>
      <c r="BP10" s="518"/>
      <c r="BQ10" s="518"/>
      <c r="BR10" s="518"/>
      <c r="BS10" s="518"/>
      <c r="BT10" s="518"/>
      <c r="BU10" s="518"/>
      <c r="BV10" s="518"/>
      <c r="BW10" s="518"/>
      <c r="BX10" s="518"/>
      <c r="BY10" s="518"/>
      <c r="BZ10" s="518"/>
      <c r="CA10" s="518"/>
      <c r="CB10" s="518"/>
      <c r="CC10" s="518"/>
      <c r="CD10" s="518"/>
      <c r="CE10" s="518"/>
      <c r="CF10" s="518"/>
      <c r="CG10" s="518"/>
      <c r="CH10" s="518"/>
      <c r="CI10" s="518"/>
      <c r="CJ10" s="518"/>
      <c r="CK10" s="518"/>
      <c r="CL10" s="518"/>
      <c r="CM10" s="518"/>
      <c r="CN10" s="518"/>
      <c r="CO10" s="518"/>
      <c r="CP10" s="518"/>
    </row>
    <row r="11" spans="1:96" ht="12" customHeight="1" x14ac:dyDescent="0.4">
      <c r="H11" s="1190"/>
      <c r="I11" s="1190"/>
      <c r="J11" s="1190"/>
      <c r="K11" s="1190"/>
      <c r="L11" s="1190"/>
      <c r="M11" s="1190"/>
      <c r="N11" s="1190"/>
      <c r="O11" s="1190"/>
      <c r="P11" s="1190"/>
      <c r="Q11" s="1191"/>
      <c r="R11" s="1191"/>
      <c r="S11" s="1191"/>
      <c r="T11" s="1191"/>
      <c r="U11" s="1191"/>
      <c r="V11" s="1191"/>
      <c r="W11" s="1191"/>
      <c r="X11" s="1191"/>
      <c r="Y11" s="1191"/>
      <c r="Z11" s="1191"/>
      <c r="AA11" s="1191"/>
      <c r="AB11" s="1191"/>
      <c r="AC11" s="1191"/>
      <c r="AD11" s="1191"/>
      <c r="AE11" s="1191"/>
      <c r="AF11" s="1191"/>
      <c r="AG11" s="1191"/>
      <c r="AH11" s="1191"/>
      <c r="AI11" s="1191"/>
      <c r="AJ11" s="1191"/>
      <c r="AK11" s="1191"/>
      <c r="AL11" s="1191"/>
      <c r="AM11" s="1191"/>
      <c r="AN11" s="1191"/>
      <c r="AO11" s="1191"/>
      <c r="AP11" s="1191"/>
      <c r="AQ11" s="1191"/>
      <c r="AR11" s="1191"/>
      <c r="AS11" s="1191"/>
      <c r="AT11" s="1191"/>
      <c r="AU11" s="1191"/>
      <c r="AV11" s="1191"/>
      <c r="AW11" s="1191"/>
      <c r="AX11" s="1191"/>
      <c r="AY11" s="1191"/>
      <c r="AZ11" s="1191"/>
      <c r="BA11" s="1191"/>
      <c r="BB11" s="1191"/>
      <c r="BC11" s="1191"/>
      <c r="BD11" s="1191"/>
      <c r="BE11" s="1191"/>
      <c r="BF11" s="1191"/>
      <c r="BG11" s="1191"/>
      <c r="BH11" s="1191"/>
      <c r="BI11" s="1191"/>
      <c r="BJ11" s="1191"/>
      <c r="BK11" s="1191"/>
      <c r="BL11" s="1191"/>
      <c r="BM11" s="1191"/>
      <c r="BN11" s="1191"/>
      <c r="BO11" s="1191"/>
      <c r="BP11" s="1191"/>
      <c r="BQ11" s="1191"/>
      <c r="BR11" s="1191"/>
      <c r="BS11" s="1191"/>
      <c r="BT11" s="1191"/>
      <c r="BU11" s="1191"/>
      <c r="BV11" s="1191"/>
      <c r="BW11" s="1191"/>
      <c r="BX11" s="1191"/>
      <c r="BY11" s="1191"/>
      <c r="BZ11" s="1191"/>
      <c r="CA11" s="1191"/>
      <c r="CB11" s="1191"/>
      <c r="CC11" s="1191"/>
      <c r="CD11" s="1191"/>
      <c r="CE11" s="1191"/>
      <c r="CF11" s="1191"/>
      <c r="CG11" s="1191"/>
      <c r="CH11" s="1191"/>
      <c r="CI11" s="1191"/>
      <c r="CJ11" s="1191"/>
      <c r="CK11" s="1191"/>
      <c r="CL11" s="1191"/>
      <c r="CM11" s="1191"/>
      <c r="CN11" s="1191"/>
      <c r="CO11" s="1191"/>
      <c r="CP11" s="1191"/>
    </row>
    <row r="12" spans="1:96" ht="30" x14ac:dyDescent="0.4">
      <c r="H12" s="1190"/>
      <c r="I12" s="1190"/>
      <c r="J12" s="1190"/>
      <c r="K12" s="1190"/>
      <c r="L12" s="1190"/>
      <c r="M12" s="1190"/>
      <c r="N12" s="1190"/>
      <c r="O12" s="1190"/>
      <c r="P12" s="1190"/>
      <c r="Q12" s="1192"/>
      <c r="R12" s="1192"/>
      <c r="S12" s="1192"/>
      <c r="T12" s="1192"/>
      <c r="U12" s="1192"/>
      <c r="V12" s="1193" t="s">
        <v>442</v>
      </c>
      <c r="W12" s="1193"/>
      <c r="X12" s="1193"/>
      <c r="Y12" s="1193"/>
      <c r="Z12" s="1193"/>
      <c r="AA12" s="1193"/>
      <c r="AB12" s="1193"/>
      <c r="AC12" s="1193"/>
      <c r="AD12" s="1193"/>
      <c r="AE12" s="1193"/>
      <c r="AF12" s="1193"/>
      <c r="AG12" s="1193"/>
      <c r="AH12" s="1193"/>
      <c r="AI12" s="1193"/>
      <c r="AJ12" s="1193"/>
      <c r="AK12" s="1193"/>
      <c r="AL12" s="1193"/>
      <c r="AM12" s="1193"/>
      <c r="AN12" s="1193"/>
      <c r="AO12" s="1193"/>
      <c r="AP12" s="1193"/>
      <c r="AQ12" s="1193"/>
      <c r="AR12" s="1193"/>
      <c r="AS12" s="1193"/>
      <c r="AT12" s="1193"/>
      <c r="AU12" s="1193"/>
      <c r="AV12" s="1193"/>
      <c r="AW12" s="1193"/>
      <c r="AX12" s="1193"/>
      <c r="AY12" s="1193"/>
      <c r="AZ12" s="1193"/>
      <c r="BA12" s="1193"/>
      <c r="BB12" s="1193"/>
      <c r="BC12" s="1193"/>
      <c r="BD12" s="1193"/>
      <c r="BE12" s="1193"/>
      <c r="BF12" s="1193"/>
      <c r="BG12" s="1193"/>
      <c r="BH12" s="1193"/>
      <c r="BI12" s="1193"/>
      <c r="BJ12" s="1193"/>
      <c r="BK12" s="1193"/>
      <c r="BL12" s="1193"/>
      <c r="BM12" s="1193"/>
      <c r="BN12" s="1193"/>
      <c r="BO12" s="1193"/>
      <c r="BP12" s="1193"/>
      <c r="BQ12" s="1193"/>
      <c r="BR12" s="1193"/>
      <c r="BS12" s="1193"/>
      <c r="BT12" s="1193"/>
      <c r="BU12" s="1193"/>
      <c r="BV12" s="1193"/>
      <c r="BW12" s="1193"/>
      <c r="BX12" s="1193"/>
      <c r="BY12" s="1193"/>
      <c r="BZ12" s="1193"/>
      <c r="CA12" s="1193"/>
      <c r="CB12" s="1193"/>
      <c r="CC12" s="1193"/>
      <c r="CD12" s="1193"/>
      <c r="CE12" s="1193"/>
      <c r="CF12" s="1193"/>
      <c r="CG12" s="1193"/>
      <c r="CH12" s="1193"/>
      <c r="CI12" s="1193"/>
      <c r="CJ12" s="1194"/>
      <c r="CK12" s="1194"/>
      <c r="CL12" s="1194"/>
      <c r="CM12" s="1192"/>
      <c r="CN12" s="1192"/>
      <c r="CO12" s="1192"/>
      <c r="CP12" s="1192"/>
    </row>
    <row r="13" spans="1:96" x14ac:dyDescent="0.25">
      <c r="H13" s="518"/>
      <c r="I13" s="518"/>
      <c r="J13" s="518"/>
      <c r="K13" s="518"/>
      <c r="L13" s="518"/>
      <c r="M13" s="518"/>
      <c r="N13" s="518"/>
      <c r="O13" s="518"/>
      <c r="P13" s="518"/>
      <c r="Q13" s="1195"/>
      <c r="R13" s="1195"/>
      <c r="S13" s="1195"/>
      <c r="T13" s="1195"/>
      <c r="U13" s="1196"/>
      <c r="V13" s="1196"/>
      <c r="W13" s="1196"/>
      <c r="X13" s="1196"/>
      <c r="Y13" s="1196"/>
      <c r="Z13" s="1196"/>
      <c r="AA13" s="1196"/>
      <c r="AB13" s="1196"/>
      <c r="AC13" s="1196"/>
      <c r="AD13" s="1196"/>
      <c r="AE13" s="1196"/>
      <c r="AF13" s="1196"/>
      <c r="AG13" s="1196"/>
      <c r="AH13" s="1196"/>
      <c r="AI13" s="1196"/>
      <c r="AJ13" s="1196"/>
      <c r="AK13" s="1195"/>
      <c r="AL13" s="1195"/>
      <c r="AM13" s="1195"/>
      <c r="AN13" s="1195"/>
      <c r="AO13" s="1195"/>
      <c r="AP13" s="1195"/>
      <c r="AQ13" s="1195"/>
      <c r="AR13" s="1195"/>
      <c r="AS13" s="1195"/>
      <c r="AT13" s="1195"/>
      <c r="AU13" s="1195"/>
      <c r="AV13" s="1195"/>
      <c r="AW13" s="1195"/>
      <c r="AX13" s="1195"/>
      <c r="AY13" s="1195"/>
      <c r="AZ13" s="1195"/>
      <c r="BA13" s="1195"/>
      <c r="BB13" s="1195"/>
      <c r="BC13" s="1195"/>
      <c r="BD13" s="1195"/>
      <c r="BE13" s="1195"/>
      <c r="BF13" s="1195"/>
      <c r="BG13" s="1195"/>
      <c r="BH13" s="1195"/>
      <c r="BI13" s="1195"/>
      <c r="BJ13" s="1195"/>
      <c r="BK13" s="1195"/>
      <c r="BL13" s="1195"/>
      <c r="BM13" s="1195"/>
      <c r="BN13" s="1195"/>
      <c r="BO13" s="1195"/>
      <c r="BP13" s="1195"/>
      <c r="BQ13" s="1195"/>
      <c r="BR13" s="1195"/>
      <c r="BS13" s="1195"/>
      <c r="BT13" s="1195"/>
      <c r="BU13" s="1195"/>
      <c r="BV13" s="1195"/>
      <c r="BW13" s="1195"/>
      <c r="BX13" s="1195"/>
      <c r="BY13" s="1195"/>
      <c r="BZ13" s="1195"/>
      <c r="CA13" s="1195"/>
      <c r="CB13" s="1195"/>
      <c r="CC13" s="1195"/>
      <c r="CD13" s="1195"/>
      <c r="CE13" s="1195"/>
      <c r="CF13" s="1195"/>
      <c r="CG13" s="1195"/>
      <c r="CH13" s="1195"/>
      <c r="CI13" s="1195"/>
      <c r="CJ13" s="1195"/>
      <c r="CK13" s="1195"/>
      <c r="CL13" s="1195"/>
      <c r="CM13" s="1195"/>
      <c r="CN13" s="1195"/>
      <c r="CO13" s="1195"/>
      <c r="CP13" s="1195"/>
    </row>
    <row r="14" spans="1:96" ht="18" x14ac:dyDescent="0.25">
      <c r="H14" s="1197"/>
      <c r="I14" s="1197"/>
      <c r="J14" s="1197"/>
      <c r="K14" s="1197"/>
      <c r="L14" s="1197"/>
      <c r="M14" s="1197"/>
      <c r="N14" s="1197"/>
      <c r="O14" s="1197"/>
      <c r="P14" s="1197"/>
      <c r="Q14" s="1198"/>
      <c r="R14" s="1198"/>
      <c r="S14" s="1198"/>
      <c r="T14" s="1198"/>
      <c r="U14" s="1199"/>
      <c r="V14" s="1200" t="s">
        <v>1160</v>
      </c>
      <c r="W14" s="1200"/>
      <c r="X14" s="1200"/>
      <c r="Y14" s="1200"/>
      <c r="Z14" s="1200"/>
      <c r="AA14" s="1200"/>
      <c r="AB14" s="1200"/>
      <c r="AC14" s="1200"/>
      <c r="AD14" s="1200"/>
      <c r="AE14" s="1200"/>
      <c r="AF14" s="1200"/>
      <c r="AG14" s="1200"/>
      <c r="AH14" s="1200"/>
      <c r="AI14" s="1200"/>
      <c r="AJ14" s="1200"/>
      <c r="AK14" s="1200"/>
      <c r="AL14" s="1200"/>
      <c r="AM14" s="1200"/>
      <c r="AN14" s="1200"/>
      <c r="AO14" s="1200"/>
      <c r="AP14" s="1200"/>
      <c r="AQ14" s="1200"/>
      <c r="AR14" s="1200"/>
      <c r="AS14" s="1200"/>
      <c r="AT14" s="1200"/>
      <c r="AU14" s="1200"/>
      <c r="AV14" s="1200"/>
      <c r="AW14" s="1200"/>
      <c r="AX14" s="1200"/>
      <c r="AY14" s="1200"/>
      <c r="AZ14" s="1200"/>
      <c r="BA14" s="1200"/>
      <c r="BB14" s="1200"/>
      <c r="BC14" s="1200"/>
      <c r="BD14" s="1200"/>
      <c r="BE14" s="1200"/>
      <c r="BF14" s="1200"/>
      <c r="BG14" s="1200"/>
      <c r="BH14" s="1198"/>
      <c r="BI14" s="1198"/>
      <c r="BJ14" s="1198"/>
      <c r="BK14" s="1198"/>
      <c r="BL14" s="1198"/>
      <c r="BM14" s="1198"/>
      <c r="BN14" s="1198"/>
      <c r="BO14" s="1198"/>
      <c r="BP14" s="1198"/>
      <c r="BQ14" s="1198"/>
      <c r="BR14" s="1198"/>
      <c r="BS14" s="1198"/>
      <c r="BT14" s="1198"/>
      <c r="BU14" s="1198"/>
      <c r="BV14" s="1198"/>
      <c r="BW14" s="1198"/>
      <c r="BX14" s="1198"/>
      <c r="BY14" s="1198"/>
      <c r="BZ14" s="1198"/>
      <c r="CA14" s="1198"/>
      <c r="CB14" s="1198"/>
      <c r="CC14" s="1198"/>
      <c r="CD14" s="1198"/>
      <c r="CE14" s="1198"/>
      <c r="CF14" s="1198"/>
      <c r="CG14" s="1198"/>
      <c r="CH14" s="1198"/>
      <c r="CI14" s="1198"/>
      <c r="CJ14" s="1198"/>
      <c r="CK14" s="1198"/>
      <c r="CL14" s="1198"/>
      <c r="CM14" s="1198"/>
      <c r="CN14" s="1198"/>
      <c r="CO14" s="1198"/>
      <c r="CP14" s="1198"/>
    </row>
    <row r="15" spans="1:96" x14ac:dyDescent="0.25">
      <c r="H15" s="1197"/>
      <c r="I15" s="1197"/>
      <c r="J15" s="1197"/>
      <c r="K15" s="1197"/>
      <c r="L15" s="1197"/>
      <c r="M15" s="1197"/>
      <c r="N15" s="1197"/>
      <c r="O15" s="1197"/>
      <c r="P15" s="1197"/>
      <c r="Q15" s="1198"/>
      <c r="R15" s="1198"/>
      <c r="S15" s="1198"/>
      <c r="T15" s="1198"/>
      <c r="U15" s="1199"/>
      <c r="V15" s="1199"/>
      <c r="W15" s="1199"/>
      <c r="X15" s="1199"/>
      <c r="Y15" s="1199"/>
      <c r="Z15" s="1199"/>
      <c r="AA15" s="1199"/>
      <c r="AB15" s="1199"/>
      <c r="AC15" s="1199"/>
      <c r="AD15" s="1199"/>
      <c r="AE15" s="1199"/>
      <c r="AF15" s="1199"/>
      <c r="AG15" s="1199"/>
      <c r="AH15" s="1199"/>
      <c r="AI15" s="1199"/>
      <c r="AJ15" s="1199"/>
      <c r="AK15" s="1198"/>
      <c r="AL15" s="1198"/>
      <c r="AM15" s="1198"/>
      <c r="AN15" s="1198"/>
      <c r="AO15" s="1198"/>
      <c r="AP15" s="1198"/>
      <c r="AQ15" s="1198"/>
      <c r="AR15" s="1198"/>
      <c r="AS15" s="1198"/>
      <c r="AT15" s="1198"/>
      <c r="AU15" s="1198"/>
      <c r="AV15" s="1198"/>
      <c r="AW15" s="1198"/>
      <c r="AX15" s="1198"/>
      <c r="AY15" s="1198"/>
      <c r="AZ15" s="1198"/>
      <c r="BA15" s="1198"/>
      <c r="BB15" s="1198"/>
      <c r="BC15" s="1198"/>
      <c r="BD15" s="1198"/>
      <c r="BE15" s="1198"/>
      <c r="BF15" s="1198"/>
      <c r="BG15" s="1198"/>
      <c r="BH15" s="1198"/>
      <c r="BI15" s="1198"/>
      <c r="BJ15" s="1198"/>
      <c r="BK15" s="1198"/>
      <c r="BL15" s="1198"/>
      <c r="BM15" s="1198"/>
      <c r="BN15" s="1198"/>
      <c r="BO15" s="1198"/>
      <c r="BP15" s="1198"/>
      <c r="BQ15" s="1198"/>
      <c r="BR15" s="1198"/>
      <c r="BS15" s="1198"/>
      <c r="BT15" s="1198"/>
      <c r="BU15" s="1198"/>
      <c r="BV15" s="1198"/>
      <c r="BW15" s="1198"/>
      <c r="BX15" s="1198"/>
      <c r="BY15" s="1198"/>
      <c r="BZ15" s="1198"/>
      <c r="CA15" s="1198"/>
      <c r="CB15" s="1198"/>
      <c r="CC15" s="1198"/>
      <c r="CD15" s="1198"/>
      <c r="CE15" s="1198"/>
      <c r="CF15" s="1198"/>
      <c r="CG15" s="1198"/>
      <c r="CH15" s="1198"/>
      <c r="CI15" s="1198"/>
      <c r="CJ15" s="1198"/>
      <c r="CK15" s="1198"/>
      <c r="CL15" s="1198"/>
      <c r="CM15" s="1198"/>
      <c r="CN15" s="1198"/>
      <c r="CO15" s="1198"/>
      <c r="CP15" s="1198"/>
    </row>
    <row r="16" spans="1:96" s="432" customFormat="1" ht="27.75" customHeight="1" x14ac:dyDescent="0.25">
      <c r="A16" s="521"/>
      <c r="H16" s="1201"/>
      <c r="I16" s="1201"/>
      <c r="J16" s="1201"/>
      <c r="K16" s="1201"/>
      <c r="L16" s="1201"/>
      <c r="M16" s="1201"/>
      <c r="N16" s="1201"/>
      <c r="O16" s="1201"/>
      <c r="P16" s="1201"/>
      <c r="Q16" s="1202"/>
      <c r="R16" s="1202"/>
      <c r="S16" s="1202"/>
      <c r="T16" s="1202"/>
      <c r="U16" s="1203"/>
      <c r="V16" s="1635" t="s">
        <v>443</v>
      </c>
      <c r="W16" s="1635"/>
      <c r="X16" s="1635"/>
      <c r="Y16" s="1635"/>
      <c r="Z16" s="1635"/>
      <c r="AA16" s="1635"/>
      <c r="AB16" s="1635"/>
      <c r="AC16" s="1635"/>
      <c r="AD16" s="1635"/>
      <c r="AE16" s="1635"/>
      <c r="AF16" s="1635"/>
      <c r="AG16" s="1635"/>
      <c r="AH16" s="1635"/>
      <c r="AI16" s="1635"/>
      <c r="AJ16" s="1635"/>
      <c r="AK16" s="1202"/>
      <c r="AL16" s="1636" t="s">
        <v>148</v>
      </c>
      <c r="AM16" s="1636"/>
      <c r="AN16" s="1636"/>
      <c r="AO16" s="1636"/>
      <c r="AP16" s="1636"/>
      <c r="AQ16" s="1636"/>
      <c r="AR16" s="1636"/>
      <c r="AS16" s="1636"/>
      <c r="AT16" s="1636"/>
      <c r="AU16" s="1636"/>
      <c r="AV16" s="1636"/>
      <c r="AW16" s="1636"/>
      <c r="AX16" s="1636"/>
      <c r="AY16" s="1636"/>
      <c r="AZ16" s="1636"/>
      <c r="BA16" s="1636"/>
      <c r="BB16" s="1636"/>
      <c r="BC16" s="1636"/>
      <c r="BD16" s="1636"/>
      <c r="BE16" s="1636"/>
      <c r="BF16" s="1636"/>
      <c r="BG16" s="1636"/>
      <c r="BH16" s="1202"/>
      <c r="BI16" s="1202"/>
      <c r="BJ16" s="1202"/>
      <c r="BK16" s="1202"/>
      <c r="BL16" s="1202"/>
      <c r="BM16" s="1202"/>
      <c r="BN16" s="1202"/>
      <c r="BO16" s="1202"/>
      <c r="BP16" s="1202"/>
      <c r="BQ16" s="1202"/>
      <c r="BR16" s="1202"/>
      <c r="BS16" s="1202"/>
      <c r="BT16" s="1202"/>
      <c r="BU16" s="1202"/>
      <c r="BV16" s="1202"/>
      <c r="BW16" s="1202"/>
      <c r="BX16" s="1202"/>
      <c r="BY16" s="1202"/>
      <c r="BZ16" s="1202"/>
      <c r="CA16" s="1202"/>
      <c r="CB16" s="1202"/>
      <c r="CC16" s="1202"/>
      <c r="CD16" s="1202"/>
      <c r="CE16" s="1202"/>
      <c r="CF16" s="1202"/>
      <c r="CG16" s="1202"/>
      <c r="CH16" s="1202"/>
      <c r="CI16" s="1202"/>
      <c r="CJ16" s="1202"/>
      <c r="CK16" s="1202"/>
      <c r="CL16" s="1202"/>
      <c r="CM16" s="1202"/>
      <c r="CN16" s="1202"/>
      <c r="CO16" s="1202"/>
      <c r="CP16" s="1202"/>
      <c r="CQ16" s="521"/>
      <c r="CR16" s="521"/>
    </row>
    <row r="17" spans="1:99" s="1204" customFormat="1" ht="25.5" customHeight="1" x14ac:dyDescent="0.25">
      <c r="A17" s="521"/>
      <c r="H17" s="1205"/>
      <c r="I17" s="1205"/>
      <c r="J17" s="1205"/>
      <c r="K17" s="1205"/>
      <c r="L17" s="1205"/>
      <c r="M17" s="1205"/>
      <c r="N17" s="1205"/>
      <c r="O17" s="1205"/>
      <c r="P17" s="1205"/>
      <c r="Q17" s="1206"/>
      <c r="R17" s="1206"/>
      <c r="S17" s="1206"/>
      <c r="T17" s="1206"/>
      <c r="U17" s="1207"/>
      <c r="V17" s="1642" t="s">
        <v>1161</v>
      </c>
      <c r="W17" s="1643"/>
      <c r="X17" s="1643"/>
      <c r="Y17" s="1643"/>
      <c r="Z17" s="1643"/>
      <c r="AA17" s="1643"/>
      <c r="AB17" s="1643"/>
      <c r="AC17" s="1643"/>
      <c r="AD17" s="1643"/>
      <c r="AE17" s="1643"/>
      <c r="AF17" s="1643"/>
      <c r="AG17" s="1643"/>
      <c r="AH17" s="1643"/>
      <c r="AI17" s="1643"/>
      <c r="AJ17" s="1643"/>
      <c r="AK17" s="1206"/>
      <c r="AL17" s="1644" t="str">
        <f>INDEX(dms_ABN_List,MATCH(dms_TradingName,dms_TradingName_List))</f>
        <v>086015036</v>
      </c>
      <c r="AM17" s="1644"/>
      <c r="AN17" s="1644"/>
      <c r="AO17" s="1644"/>
      <c r="AP17" s="1644"/>
      <c r="AQ17" s="1644"/>
      <c r="AR17" s="1644"/>
      <c r="AS17" s="1644"/>
      <c r="AT17" s="1644"/>
      <c r="AU17" s="1644"/>
      <c r="AV17" s="1644"/>
      <c r="AW17" s="1644"/>
      <c r="AX17" s="1206"/>
      <c r="AY17" s="1206"/>
      <c r="AZ17" s="1206"/>
      <c r="BA17" s="1206"/>
      <c r="BB17" s="1206"/>
      <c r="BC17" s="1206"/>
      <c r="BD17" s="1206"/>
      <c r="BE17" s="1206"/>
      <c r="BF17" s="1206"/>
      <c r="BG17" s="1206"/>
      <c r="BH17" s="1206"/>
      <c r="BI17" s="1206"/>
      <c r="BJ17" s="1206"/>
      <c r="BK17" s="1206"/>
      <c r="BL17" s="1206"/>
      <c r="BM17" s="1206"/>
      <c r="BN17" s="1206"/>
      <c r="BO17" s="1206"/>
      <c r="BP17" s="1206"/>
      <c r="BQ17" s="1206"/>
      <c r="BR17" s="1206"/>
      <c r="BS17" s="1206"/>
      <c r="BT17" s="1206"/>
      <c r="BU17" s="1206"/>
      <c r="BV17" s="1206"/>
      <c r="BW17" s="1206"/>
      <c r="BX17" s="1206"/>
      <c r="BY17" s="1206"/>
      <c r="BZ17" s="1206"/>
      <c r="CA17" s="1206"/>
      <c r="CB17" s="1206"/>
      <c r="CC17" s="1206"/>
      <c r="CD17" s="1206"/>
      <c r="CE17" s="1206"/>
      <c r="CF17" s="1206"/>
      <c r="CG17" s="1206"/>
      <c r="CH17" s="1206"/>
      <c r="CI17" s="1206"/>
      <c r="CJ17" s="1206"/>
      <c r="CK17" s="1206"/>
      <c r="CL17" s="1206"/>
      <c r="CM17" s="1206"/>
      <c r="CN17" s="1206"/>
      <c r="CO17" s="1206"/>
      <c r="CP17" s="1206"/>
      <c r="CQ17" s="521"/>
      <c r="CR17" s="521"/>
    </row>
    <row r="18" spans="1:99" x14ac:dyDescent="0.25">
      <c r="H18" s="1197"/>
      <c r="I18" s="1197"/>
      <c r="J18" s="1197"/>
      <c r="K18" s="1197"/>
      <c r="L18" s="1197"/>
      <c r="M18" s="1197"/>
      <c r="N18" s="1197"/>
      <c r="O18" s="1197"/>
      <c r="P18" s="1197"/>
      <c r="Q18" s="1198"/>
      <c r="R18" s="1198"/>
      <c r="S18" s="1198"/>
      <c r="T18" s="1198"/>
      <c r="U18" s="1199"/>
      <c r="V18" s="1199"/>
      <c r="W18" s="1199"/>
      <c r="X18" s="1199"/>
      <c r="Y18" s="1199"/>
      <c r="Z18" s="1199"/>
      <c r="AA18" s="1199"/>
      <c r="AB18" s="1199"/>
      <c r="AC18" s="1199"/>
      <c r="AD18" s="1199"/>
      <c r="AE18" s="1199"/>
      <c r="AF18" s="1199"/>
      <c r="AG18" s="1199"/>
      <c r="AH18" s="1199"/>
      <c r="AI18" s="1199"/>
      <c r="AJ18" s="1199"/>
      <c r="AK18" s="1198"/>
      <c r="AL18" s="1198"/>
      <c r="AM18" s="1198"/>
      <c r="AN18" s="1198"/>
      <c r="AO18" s="1198"/>
      <c r="AP18" s="1198"/>
      <c r="AQ18" s="1198"/>
      <c r="AR18" s="1198"/>
      <c r="AS18" s="1198"/>
      <c r="AT18" s="1198"/>
      <c r="AU18" s="1198"/>
      <c r="AV18" s="1198"/>
      <c r="AW18" s="1198"/>
      <c r="AX18" s="1198"/>
      <c r="AY18" s="1198"/>
      <c r="AZ18" s="1198"/>
      <c r="BA18" s="1198"/>
      <c r="BB18" s="1198"/>
      <c r="BC18" s="1198"/>
      <c r="BD18" s="1198"/>
      <c r="BE18" s="1198"/>
      <c r="BF18" s="1198"/>
      <c r="BG18" s="1198"/>
      <c r="BH18" s="1198"/>
      <c r="BI18" s="1198"/>
      <c r="BJ18" s="1198"/>
      <c r="BK18" s="1198"/>
      <c r="BL18" s="1198"/>
      <c r="BM18" s="1198"/>
      <c r="BN18" s="1198"/>
      <c r="BO18" s="1198"/>
      <c r="BP18" s="1198"/>
      <c r="BQ18" s="1198"/>
      <c r="BR18" s="1198"/>
      <c r="BS18" s="1198"/>
      <c r="BT18" s="1198"/>
      <c r="BU18" s="1198"/>
      <c r="BV18" s="1198"/>
      <c r="BW18" s="1198"/>
      <c r="BX18" s="1198"/>
      <c r="BY18" s="1198"/>
      <c r="BZ18" s="1198"/>
      <c r="CA18" s="1198"/>
      <c r="CB18" s="1198"/>
      <c r="CC18" s="1198"/>
      <c r="CD18" s="1198"/>
      <c r="CE18" s="1198"/>
      <c r="CF18" s="1198"/>
      <c r="CG18" s="1198"/>
      <c r="CH18" s="1198"/>
      <c r="CI18" s="1198"/>
      <c r="CJ18" s="1198"/>
      <c r="CK18" s="1198"/>
      <c r="CL18" s="1198"/>
      <c r="CM18" s="1198"/>
      <c r="CN18" s="1198"/>
      <c r="CO18" s="1198"/>
      <c r="CP18" s="1198"/>
    </row>
    <row r="19" spans="1:99" x14ac:dyDescent="0.25">
      <c r="H19" s="1197"/>
      <c r="I19" s="1197"/>
      <c r="J19" s="1197"/>
      <c r="K19" s="1197"/>
      <c r="L19" s="1197"/>
      <c r="M19" s="1197"/>
      <c r="N19" s="1197"/>
      <c r="O19" s="1197"/>
      <c r="P19" s="1197"/>
      <c r="Q19" s="1198"/>
      <c r="R19" s="1198"/>
      <c r="S19" s="1198"/>
      <c r="T19" s="1198"/>
      <c r="U19" s="1199"/>
      <c r="V19" s="1199"/>
      <c r="W19" s="1199"/>
      <c r="X19" s="1199"/>
      <c r="Y19" s="1199"/>
      <c r="Z19" s="1199"/>
      <c r="AA19" s="1199"/>
      <c r="AB19" s="1199"/>
      <c r="AC19" s="1199"/>
      <c r="AD19" s="1199"/>
      <c r="AE19" s="1199"/>
      <c r="AF19" s="1199"/>
      <c r="AG19" s="1199"/>
      <c r="AH19" s="1199"/>
      <c r="AI19" s="1199"/>
      <c r="AJ19" s="1199"/>
      <c r="AK19" s="1198"/>
      <c r="AL19" s="1198"/>
      <c r="AM19" s="1198"/>
      <c r="AN19" s="1198"/>
      <c r="AO19" s="1198"/>
      <c r="AP19" s="1198"/>
      <c r="AQ19" s="1198"/>
      <c r="AR19" s="1198"/>
      <c r="AS19" s="1198"/>
      <c r="AT19" s="1198"/>
      <c r="AU19" s="1198"/>
      <c r="AV19" s="1198"/>
      <c r="AW19" s="1198"/>
      <c r="AX19" s="1198"/>
      <c r="AY19" s="1198"/>
      <c r="AZ19" s="1198"/>
      <c r="BA19" s="1198"/>
      <c r="BB19" s="1198"/>
      <c r="BC19" s="1198"/>
      <c r="BD19" s="1198"/>
      <c r="BE19" s="1198"/>
      <c r="BF19" s="1198"/>
      <c r="BG19" s="1198"/>
      <c r="BH19" s="1198"/>
      <c r="BI19" s="1198"/>
      <c r="BJ19" s="1198"/>
      <c r="BK19" s="1198"/>
      <c r="BL19" s="1198"/>
      <c r="BM19" s="1198"/>
      <c r="BN19" s="1198"/>
      <c r="BO19" s="1198"/>
      <c r="BP19" s="1198"/>
      <c r="BQ19" s="1198"/>
      <c r="BR19" s="1198"/>
      <c r="BS19" s="1198"/>
      <c r="BT19" s="1198"/>
      <c r="BU19" s="1198"/>
      <c r="BV19" s="1198"/>
      <c r="BW19" s="1198"/>
      <c r="BX19" s="1198"/>
      <c r="BY19" s="1198"/>
      <c r="BZ19" s="1198"/>
      <c r="CA19" s="1198"/>
      <c r="CB19" s="1198"/>
      <c r="CC19" s="1198"/>
      <c r="CD19" s="1198"/>
      <c r="CE19" s="1198"/>
      <c r="CF19" s="1198"/>
      <c r="CG19" s="1198"/>
      <c r="CH19" s="1198"/>
      <c r="CI19" s="1198"/>
      <c r="CJ19" s="1198"/>
      <c r="CK19" s="1198"/>
      <c r="CL19" s="1198"/>
      <c r="CM19" s="1198"/>
      <c r="CN19" s="1198"/>
      <c r="CO19" s="1198"/>
      <c r="CP19" s="1198"/>
    </row>
    <row r="20" spans="1:99" x14ac:dyDescent="0.25">
      <c r="H20" s="1197"/>
      <c r="I20" s="1197"/>
      <c r="J20" s="1197"/>
      <c r="K20" s="1197"/>
      <c r="L20" s="1197"/>
      <c r="M20" s="1197"/>
      <c r="N20" s="1197"/>
      <c r="O20" s="1197"/>
      <c r="P20" s="1197"/>
      <c r="Q20" s="1198"/>
      <c r="R20" s="1198"/>
      <c r="S20" s="1198"/>
      <c r="T20" s="1198"/>
      <c r="U20" s="1199"/>
      <c r="V20" s="1199"/>
      <c r="W20" s="1199"/>
      <c r="X20" s="1199"/>
      <c r="Y20" s="1199"/>
      <c r="Z20" s="1199"/>
      <c r="AA20" s="1199"/>
      <c r="AB20" s="1199"/>
      <c r="AC20" s="1199"/>
      <c r="AD20" s="1199"/>
      <c r="AE20" s="1199"/>
      <c r="AF20" s="1199"/>
      <c r="AG20" s="1199"/>
      <c r="AH20" s="1199"/>
      <c r="AI20" s="1199"/>
      <c r="AJ20" s="1199"/>
      <c r="AK20" s="1198"/>
      <c r="AL20" s="1198"/>
      <c r="AM20" s="1198"/>
      <c r="AN20" s="1198"/>
      <c r="AO20" s="1198"/>
      <c r="AP20" s="1198"/>
      <c r="AQ20" s="1198"/>
      <c r="AR20" s="1198"/>
      <c r="AS20" s="1198"/>
      <c r="AT20" s="1198"/>
      <c r="AU20" s="1198"/>
      <c r="AV20" s="1198"/>
      <c r="AW20" s="1198"/>
      <c r="AX20" s="1198"/>
      <c r="AY20" s="1198"/>
      <c r="AZ20" s="1198"/>
      <c r="BA20" s="1198"/>
      <c r="BB20" s="1198"/>
      <c r="BC20" s="1198"/>
      <c r="BD20" s="1198"/>
      <c r="BE20" s="1198"/>
      <c r="BF20" s="1198"/>
      <c r="BG20" s="1198"/>
      <c r="BH20" s="1198"/>
      <c r="BI20" s="1198"/>
      <c r="BJ20" s="1198"/>
      <c r="BK20" s="1198"/>
      <c r="BL20" s="1198"/>
      <c r="BM20" s="1198"/>
      <c r="BN20" s="1198"/>
      <c r="BO20" s="1198"/>
      <c r="BP20" s="1198"/>
      <c r="BQ20" s="1198"/>
      <c r="BR20" s="1198"/>
      <c r="BS20" s="1198"/>
      <c r="BT20" s="1198"/>
      <c r="BU20" s="1198"/>
      <c r="BV20" s="1198"/>
      <c r="BW20" s="1198"/>
      <c r="BX20" s="1198"/>
      <c r="BY20" s="1198"/>
      <c r="BZ20" s="1198"/>
      <c r="CA20" s="1198"/>
      <c r="CB20" s="1198"/>
      <c r="CC20" s="1198"/>
      <c r="CD20" s="1198"/>
      <c r="CE20" s="1198"/>
      <c r="CF20" s="1198"/>
      <c r="CG20" s="1198"/>
      <c r="CH20" s="1198"/>
      <c r="CI20" s="1198"/>
      <c r="CJ20" s="1198"/>
      <c r="CK20" s="1198"/>
      <c r="CL20" s="1198"/>
      <c r="CM20" s="1198"/>
      <c r="CN20" s="1198"/>
      <c r="CO20" s="1198"/>
      <c r="CP20" s="1198"/>
    </row>
    <row r="21" spans="1:99" ht="15" customHeight="1" x14ac:dyDescent="0.25">
      <c r="H21" s="1197"/>
      <c r="I21" s="1197"/>
      <c r="J21" s="1197"/>
      <c r="K21" s="1197"/>
      <c r="L21" s="1197"/>
      <c r="M21" s="1197"/>
      <c r="N21" s="1197"/>
      <c r="O21" s="1197"/>
      <c r="P21" s="1197"/>
      <c r="Q21" s="1198"/>
      <c r="R21" s="1198"/>
      <c r="S21" s="1198"/>
      <c r="T21" s="1198"/>
      <c r="U21" s="1208"/>
      <c r="V21" s="1200" t="s">
        <v>1162</v>
      </c>
      <c r="W21" s="1200"/>
      <c r="X21" s="1200"/>
      <c r="Y21" s="1200"/>
      <c r="Z21" s="1200"/>
      <c r="AA21" s="1200"/>
      <c r="AB21" s="1200"/>
      <c r="AC21" s="1200"/>
      <c r="AD21" s="1200"/>
      <c r="AE21" s="1200"/>
      <c r="AF21" s="1200"/>
      <c r="AG21" s="1200"/>
      <c r="AH21" s="1200"/>
      <c r="AI21" s="1200"/>
      <c r="AJ21" s="1200"/>
      <c r="AK21" s="1200"/>
      <c r="AL21" s="1200"/>
      <c r="AM21" s="1200"/>
      <c r="AN21" s="1200"/>
      <c r="AO21" s="1200"/>
      <c r="AP21" s="1200"/>
      <c r="AQ21" s="1200"/>
      <c r="AR21" s="1200"/>
      <c r="AS21" s="1200"/>
      <c r="AT21" s="1200"/>
      <c r="AU21" s="1200"/>
      <c r="AV21" s="1200"/>
      <c r="AW21" s="1200"/>
      <c r="AX21" s="1200"/>
      <c r="AY21" s="1200"/>
      <c r="AZ21" s="1200"/>
      <c r="BA21" s="1200"/>
      <c r="BB21" s="1200"/>
      <c r="BC21" s="1200"/>
      <c r="BD21" s="1200"/>
      <c r="BE21" s="1200"/>
      <c r="BF21" s="1200"/>
      <c r="BG21" s="1200"/>
      <c r="BH21" s="1198"/>
      <c r="BI21" s="1209"/>
      <c r="BJ21" s="1210"/>
      <c r="BK21" s="1210"/>
      <c r="BL21" s="1210"/>
      <c r="BM21" s="1210"/>
      <c r="BN21" s="1210"/>
      <c r="BO21" s="1210"/>
      <c r="BP21" s="1210"/>
      <c r="BQ21" s="1211" t="s">
        <v>1163</v>
      </c>
      <c r="BR21" s="1211"/>
      <c r="BS21" s="1211"/>
      <c r="BT21" s="1211"/>
      <c r="BU21" s="1211"/>
      <c r="BV21" s="1211"/>
      <c r="BW21" s="1211"/>
      <c r="BX21" s="1211"/>
      <c r="BY21" s="1211"/>
      <c r="BZ21" s="1211"/>
      <c r="CA21" s="1211"/>
      <c r="CB21" s="1211"/>
      <c r="CC21" s="1211"/>
      <c r="CD21" s="1211"/>
      <c r="CE21" s="1211"/>
      <c r="CF21" s="1211"/>
      <c r="CG21" s="1211"/>
      <c r="CH21" s="1211"/>
      <c r="CI21" s="1211"/>
      <c r="CJ21" s="1211"/>
      <c r="CK21" s="1211"/>
      <c r="CL21" s="1211"/>
      <c r="CM21" s="1211"/>
      <c r="CN21" s="1211"/>
      <c r="CO21" s="1211"/>
      <c r="CP21" s="1211"/>
      <c r="CS21"/>
      <c r="CT21"/>
    </row>
    <row r="22" spans="1:99" x14ac:dyDescent="0.25">
      <c r="H22" s="1197"/>
      <c r="I22" s="1197"/>
      <c r="J22" s="1197"/>
      <c r="K22" s="1197"/>
      <c r="L22" s="1197"/>
      <c r="M22" s="1197"/>
      <c r="N22" s="1197"/>
      <c r="O22" s="1197"/>
      <c r="P22" s="1197"/>
      <c r="Q22" s="1198"/>
      <c r="R22" s="1198"/>
      <c r="S22" s="1198"/>
      <c r="T22" s="1198"/>
      <c r="U22" s="1199"/>
      <c r="V22" s="1199"/>
      <c r="W22" s="1199"/>
      <c r="X22" s="1199"/>
      <c r="Y22" s="1199"/>
      <c r="Z22" s="1199"/>
      <c r="AA22" s="1199"/>
      <c r="AB22" s="1199"/>
      <c r="AC22" s="1199"/>
      <c r="AD22" s="1199"/>
      <c r="AE22" s="1199"/>
      <c r="AF22" s="1199"/>
      <c r="AG22" s="1199"/>
      <c r="AH22" s="1199"/>
      <c r="AI22" s="1199"/>
      <c r="AJ22" s="1199"/>
      <c r="AK22" s="1209"/>
      <c r="AL22" s="1209"/>
      <c r="AM22" s="1212"/>
      <c r="AN22" s="1212"/>
      <c r="AO22" s="1212"/>
      <c r="AP22" s="1212"/>
      <c r="AQ22" s="1212"/>
      <c r="AR22" s="1212"/>
      <c r="AS22" s="1212"/>
      <c r="AT22" s="1212"/>
      <c r="AU22" s="1212"/>
      <c r="AV22" s="1212"/>
      <c r="AW22" s="1212"/>
      <c r="AX22" s="1212"/>
      <c r="AY22" s="1212"/>
      <c r="AZ22" s="1212"/>
      <c r="BA22" s="1212"/>
      <c r="BB22" s="1212"/>
      <c r="BC22" s="1212"/>
      <c r="BD22" s="1212"/>
      <c r="BE22" s="1212"/>
      <c r="BF22" s="1212"/>
      <c r="BG22" s="1212"/>
      <c r="BH22" s="1199"/>
      <c r="BI22" s="1199"/>
      <c r="BJ22" s="1199"/>
      <c r="BK22" s="1199"/>
      <c r="BL22" s="1199"/>
      <c r="BM22" s="1199"/>
      <c r="BN22" s="1199"/>
      <c r="BO22" s="1199"/>
      <c r="BP22" s="1199"/>
      <c r="BQ22" s="1209"/>
      <c r="BR22" s="1212"/>
      <c r="BS22" s="1212"/>
      <c r="BT22" s="1212"/>
      <c r="BU22" s="1212"/>
      <c r="BV22" s="1212"/>
      <c r="BW22" s="1212"/>
      <c r="BX22" s="1212"/>
      <c r="BY22" s="1212"/>
      <c r="BZ22" s="1212"/>
      <c r="CA22" s="1212"/>
      <c r="CB22" s="1212"/>
      <c r="CC22" s="1212"/>
      <c r="CD22" s="1212"/>
      <c r="CE22" s="1212"/>
      <c r="CF22" s="1212"/>
      <c r="CG22" s="1212"/>
      <c r="CH22" s="1212"/>
      <c r="CI22" s="1212"/>
      <c r="CJ22" s="1212"/>
      <c r="CK22" s="1212"/>
      <c r="CL22" s="1212"/>
      <c r="CM22" s="1198"/>
      <c r="CN22" s="1198"/>
      <c r="CO22" s="1198"/>
      <c r="CP22" s="1198"/>
      <c r="CS22"/>
      <c r="CT22"/>
    </row>
    <row r="23" spans="1:99" x14ac:dyDescent="0.25">
      <c r="H23" s="1197"/>
      <c r="I23" s="1197"/>
      <c r="J23" s="1197"/>
      <c r="K23" s="1197"/>
      <c r="L23" s="1197"/>
      <c r="M23" s="1197"/>
      <c r="N23" s="1197"/>
      <c r="O23" s="1197"/>
      <c r="P23" s="1197"/>
      <c r="Q23" s="1198"/>
      <c r="R23" s="1198"/>
      <c r="S23" s="1198"/>
      <c r="T23" s="1198"/>
      <c r="U23" s="1199"/>
      <c r="V23" s="1637" t="s">
        <v>444</v>
      </c>
      <c r="W23" s="1637"/>
      <c r="X23" s="1637"/>
      <c r="Y23" s="1637"/>
      <c r="Z23" s="1637"/>
      <c r="AA23" s="1637"/>
      <c r="AB23" s="1637"/>
      <c r="AC23" s="1637"/>
      <c r="AD23" s="1637"/>
      <c r="AE23" s="1637"/>
      <c r="AF23" s="1637"/>
      <c r="AG23" s="1637"/>
      <c r="AH23" s="1637"/>
      <c r="AI23" s="1637"/>
      <c r="AJ23" s="1637"/>
      <c r="AK23" s="1198"/>
      <c r="AL23" s="1638" t="str">
        <f>INDEX(dms_Addr1_List,MATCH(dms_TradingName,dms_TradingName_List))</f>
        <v>Level 19, HSBC Building</v>
      </c>
      <c r="AM23" s="1639"/>
      <c r="AN23" s="1639"/>
      <c r="AO23" s="1639"/>
      <c r="AP23" s="1639"/>
      <c r="AQ23" s="1639"/>
      <c r="AR23" s="1639"/>
      <c r="AS23" s="1639"/>
      <c r="AT23" s="1639"/>
      <c r="AU23" s="1639"/>
      <c r="AV23" s="1639"/>
      <c r="AW23" s="1639"/>
      <c r="AX23" s="1639"/>
      <c r="AY23" s="1639"/>
      <c r="AZ23" s="1639"/>
      <c r="BA23" s="1639"/>
      <c r="BB23" s="1639"/>
      <c r="BC23" s="1639"/>
      <c r="BD23" s="1639"/>
      <c r="BE23" s="1639"/>
      <c r="BF23" s="1639"/>
      <c r="BG23" s="1640"/>
      <c r="BH23" s="1199"/>
      <c r="BI23" s="1637" t="s">
        <v>444</v>
      </c>
      <c r="BJ23" s="1637"/>
      <c r="BK23" s="1637"/>
      <c r="BL23" s="1637"/>
      <c r="BM23" s="1637"/>
      <c r="BN23" s="1637"/>
      <c r="BO23" s="1637"/>
      <c r="BP23" s="1213"/>
      <c r="BQ23" s="1638" t="str">
        <f>INDEX(dms_PAddr1_List,MATCH(dms_TradingName,dms_TradingName_List))</f>
        <v>PO Box R41</v>
      </c>
      <c r="BR23" s="1639"/>
      <c r="BS23" s="1639"/>
      <c r="BT23" s="1639"/>
      <c r="BU23" s="1639"/>
      <c r="BV23" s="1639"/>
      <c r="BW23" s="1639"/>
      <c r="BX23" s="1639"/>
      <c r="BY23" s="1639"/>
      <c r="BZ23" s="1639"/>
      <c r="CA23" s="1639"/>
      <c r="CB23" s="1639"/>
      <c r="CC23" s="1639"/>
      <c r="CD23" s="1639"/>
      <c r="CE23" s="1639"/>
      <c r="CF23" s="1639"/>
      <c r="CG23" s="1639"/>
      <c r="CH23" s="1639"/>
      <c r="CI23" s="1639"/>
      <c r="CJ23" s="1639"/>
      <c r="CK23" s="1639"/>
      <c r="CL23" s="1640"/>
      <c r="CM23" s="1198"/>
      <c r="CN23" s="1198"/>
      <c r="CO23" s="1198"/>
      <c r="CP23" s="1198"/>
      <c r="CS23"/>
      <c r="CT23"/>
    </row>
    <row r="24" spans="1:99" x14ac:dyDescent="0.25">
      <c r="H24" s="1197"/>
      <c r="I24" s="1197"/>
      <c r="J24" s="1197"/>
      <c r="K24" s="1197"/>
      <c r="L24" s="1197"/>
      <c r="M24" s="1197"/>
      <c r="N24" s="1197"/>
      <c r="O24" s="1197"/>
      <c r="P24" s="1197"/>
      <c r="Q24" s="1198"/>
      <c r="R24" s="1198"/>
      <c r="S24" s="1198"/>
      <c r="T24" s="1198"/>
      <c r="U24" s="1199"/>
      <c r="V24" s="1637" t="s">
        <v>445</v>
      </c>
      <c r="W24" s="1637"/>
      <c r="X24" s="1637"/>
      <c r="Y24" s="1637"/>
      <c r="Z24" s="1637"/>
      <c r="AA24" s="1637"/>
      <c r="AB24" s="1637"/>
      <c r="AC24" s="1637"/>
      <c r="AD24" s="1637"/>
      <c r="AE24" s="1637"/>
      <c r="AF24" s="1637"/>
      <c r="AG24" s="1637"/>
      <c r="AH24" s="1637"/>
      <c r="AI24" s="1637"/>
      <c r="AJ24" s="1637"/>
      <c r="AK24" s="1198"/>
      <c r="AL24" s="1638" t="str">
        <f>IF(ISBLANK(INDEX(dms_Addr2_List,MATCH(dms_TradingName,dms_TradingName_List))),"",(INDEX(dms_Addr2_List,MATCH(dms_TradingName,dms_TradingName_List))))</f>
        <v>580 George Street</v>
      </c>
      <c r="AM24" s="1639"/>
      <c r="AN24" s="1639"/>
      <c r="AO24" s="1639"/>
      <c r="AP24" s="1639"/>
      <c r="AQ24" s="1639"/>
      <c r="AR24" s="1639"/>
      <c r="AS24" s="1639"/>
      <c r="AT24" s="1639"/>
      <c r="AU24" s="1639"/>
      <c r="AV24" s="1639"/>
      <c r="AW24" s="1639"/>
      <c r="AX24" s="1639"/>
      <c r="AY24" s="1639"/>
      <c r="AZ24" s="1639"/>
      <c r="BA24" s="1639"/>
      <c r="BB24" s="1639"/>
      <c r="BC24" s="1639"/>
      <c r="BD24" s="1639"/>
      <c r="BE24" s="1639"/>
      <c r="BF24" s="1639"/>
      <c r="BG24" s="1640"/>
      <c r="BH24" s="1199"/>
      <c r="BI24" s="1637" t="s">
        <v>445</v>
      </c>
      <c r="BJ24" s="1637"/>
      <c r="BK24" s="1637"/>
      <c r="BL24" s="1637"/>
      <c r="BM24" s="1637"/>
      <c r="BN24" s="1637"/>
      <c r="BO24" s="1637"/>
      <c r="BP24" s="1213"/>
      <c r="BQ24" s="1638" t="str">
        <f>IF(ISBLANK(INDEX(dms_PAddr2_List,MATCH(dms_TradingName,dms_TradingName_List))),"",(INDEX(dms_PAddr2_List,MATCH(dms_TradingName,dms_TradingName_List))))</f>
        <v/>
      </c>
      <c r="BR24" s="1639"/>
      <c r="BS24" s="1639"/>
      <c r="BT24" s="1639"/>
      <c r="BU24" s="1639"/>
      <c r="BV24" s="1639"/>
      <c r="BW24" s="1639"/>
      <c r="BX24" s="1639"/>
      <c r="BY24" s="1639"/>
      <c r="BZ24" s="1639"/>
      <c r="CA24" s="1639"/>
      <c r="CB24" s="1639"/>
      <c r="CC24" s="1639"/>
      <c r="CD24" s="1639"/>
      <c r="CE24" s="1639"/>
      <c r="CF24" s="1639"/>
      <c r="CG24" s="1639"/>
      <c r="CH24" s="1639"/>
      <c r="CI24" s="1639"/>
      <c r="CJ24" s="1639"/>
      <c r="CK24" s="1639"/>
      <c r="CL24" s="1640"/>
      <c r="CM24" s="1198"/>
      <c r="CN24" s="1198"/>
      <c r="CO24" s="1198"/>
      <c r="CP24" s="1198"/>
      <c r="CS24"/>
      <c r="CT24"/>
    </row>
    <row r="25" spans="1:99" x14ac:dyDescent="0.25">
      <c r="H25" s="1197"/>
      <c r="I25" s="1197"/>
      <c r="J25" s="1197"/>
      <c r="K25" s="1197"/>
      <c r="L25" s="1197"/>
      <c r="M25" s="1197"/>
      <c r="N25" s="1197"/>
      <c r="O25" s="1197"/>
      <c r="P25" s="1197"/>
      <c r="Q25" s="1198"/>
      <c r="R25" s="1198"/>
      <c r="S25" s="1198"/>
      <c r="T25" s="1198"/>
      <c r="U25" s="1199"/>
      <c r="V25" s="1637" t="s">
        <v>446</v>
      </c>
      <c r="W25" s="1637"/>
      <c r="X25" s="1637"/>
      <c r="Y25" s="1637"/>
      <c r="Z25" s="1637"/>
      <c r="AA25" s="1637"/>
      <c r="AB25" s="1637"/>
      <c r="AC25" s="1637"/>
      <c r="AD25" s="1637"/>
      <c r="AE25" s="1637"/>
      <c r="AF25" s="1637"/>
      <c r="AG25" s="1637"/>
      <c r="AH25" s="1637"/>
      <c r="AI25" s="1637"/>
      <c r="AJ25" s="1637"/>
      <c r="AK25" s="1198"/>
      <c r="AL25" s="1641" t="str">
        <f>INDEX(dms_Suburb_List,MATCH(dms_TradingName,dms_TradingName_List))</f>
        <v>SYDNEY</v>
      </c>
      <c r="AM25" s="1641"/>
      <c r="AN25" s="1641"/>
      <c r="AO25" s="1641"/>
      <c r="AP25" s="1641"/>
      <c r="AQ25" s="1641"/>
      <c r="AR25" s="1641"/>
      <c r="AS25" s="1641"/>
      <c r="AT25" s="1641"/>
      <c r="AU25" s="1641"/>
      <c r="AV25" s="1641"/>
      <c r="AW25" s="1641"/>
      <c r="AX25" s="1641"/>
      <c r="AY25" s="1641"/>
      <c r="AZ25" s="1641"/>
      <c r="BA25" s="1214"/>
      <c r="BB25" s="1214"/>
      <c r="BC25" s="1214"/>
      <c r="BD25" s="1214"/>
      <c r="BE25" s="1214"/>
      <c r="BF25" s="1214"/>
      <c r="BG25" s="1214"/>
      <c r="BH25" s="1199"/>
      <c r="BI25" s="1637" t="s">
        <v>446</v>
      </c>
      <c r="BJ25" s="1637"/>
      <c r="BK25" s="1637"/>
      <c r="BL25" s="1637"/>
      <c r="BM25" s="1637"/>
      <c r="BN25" s="1637"/>
      <c r="BO25" s="1637"/>
      <c r="BP25" s="1213"/>
      <c r="BQ25" s="1641" t="str">
        <f>INDEX(dms_PSuburb_List,MATCH(dms_TradingName,dms_TradingName_List))</f>
        <v>ROYAL EXCHANGE</v>
      </c>
      <c r="BR25" s="1641"/>
      <c r="BS25" s="1641"/>
      <c r="BT25" s="1641"/>
      <c r="BU25" s="1641"/>
      <c r="BV25" s="1641"/>
      <c r="BW25" s="1641"/>
      <c r="BX25" s="1641"/>
      <c r="BY25" s="1641"/>
      <c r="BZ25" s="1641"/>
      <c r="CA25" s="1641"/>
      <c r="CB25" s="1641"/>
      <c r="CC25" s="1641"/>
      <c r="CD25" s="1641"/>
      <c r="CE25" s="1641"/>
      <c r="CF25" s="1214"/>
      <c r="CG25" s="1214"/>
      <c r="CH25" s="1214"/>
      <c r="CI25" s="1214"/>
      <c r="CJ25" s="1214"/>
      <c r="CK25" s="1214"/>
      <c r="CL25" s="1214"/>
      <c r="CM25" s="1198"/>
      <c r="CN25" s="1198"/>
      <c r="CO25" s="1198"/>
      <c r="CP25" s="1198"/>
      <c r="CS25"/>
      <c r="CT25"/>
    </row>
    <row r="26" spans="1:99" x14ac:dyDescent="0.25">
      <c r="H26" s="1197"/>
      <c r="I26" s="1197"/>
      <c r="J26" s="1197"/>
      <c r="K26" s="1197"/>
      <c r="L26" s="1197"/>
      <c r="M26" s="1197"/>
      <c r="N26" s="1197"/>
      <c r="O26" s="1197"/>
      <c r="P26" s="1197"/>
      <c r="Q26" s="1198"/>
      <c r="R26" s="1198"/>
      <c r="S26" s="1198"/>
      <c r="T26" s="1198"/>
      <c r="U26" s="1199"/>
      <c r="V26" s="1637" t="s">
        <v>447</v>
      </c>
      <c r="W26" s="1637"/>
      <c r="X26" s="1637"/>
      <c r="Y26" s="1637"/>
      <c r="Z26" s="1637"/>
      <c r="AA26" s="1637"/>
      <c r="AB26" s="1637"/>
      <c r="AC26" s="1637"/>
      <c r="AD26" s="1637"/>
      <c r="AE26" s="1637"/>
      <c r="AF26" s="1637"/>
      <c r="AG26" s="1637"/>
      <c r="AH26" s="1637"/>
      <c r="AI26" s="1637"/>
      <c r="AJ26" s="1637"/>
      <c r="AK26" s="1198"/>
      <c r="AL26" s="1647" t="str">
        <f>INDEX(dms_State_List,MATCH(dms_TradingName,dms_TradingName_List))</f>
        <v>NSW</v>
      </c>
      <c r="AM26" s="1647"/>
      <c r="AN26" s="1647"/>
      <c r="AO26" s="1647"/>
      <c r="AP26" s="1198"/>
      <c r="AQ26" s="1215"/>
      <c r="AR26" s="1198"/>
      <c r="AS26" s="1198"/>
      <c r="AT26" s="1198"/>
      <c r="AU26" s="1198"/>
      <c r="AV26" s="1215" t="s">
        <v>1164</v>
      </c>
      <c r="AW26" s="1215"/>
      <c r="AX26" s="1648"/>
      <c r="AY26" s="1648"/>
      <c r="AZ26" s="1648"/>
      <c r="BA26" s="1198"/>
      <c r="BB26" s="1198"/>
      <c r="BC26" s="1198"/>
      <c r="BD26" s="1198"/>
      <c r="BE26" s="1198"/>
      <c r="BF26" s="1198"/>
      <c r="BG26" s="1198"/>
      <c r="BH26" s="1199"/>
      <c r="BI26" s="1637" t="s">
        <v>447</v>
      </c>
      <c r="BJ26" s="1637"/>
      <c r="BK26" s="1637"/>
      <c r="BL26" s="1637"/>
      <c r="BM26" s="1637"/>
      <c r="BN26" s="1637"/>
      <c r="BO26" s="1637"/>
      <c r="BP26" s="1213"/>
      <c r="BQ26" s="1647" t="str">
        <f>INDEX(dms_PState_List,MATCH(dms_TradingName,dms_TradingName_List))</f>
        <v>NSW</v>
      </c>
      <c r="BR26" s="1647"/>
      <c r="BS26" s="1647"/>
      <c r="BT26" s="1647"/>
      <c r="BU26" s="1198"/>
      <c r="BV26" s="1198"/>
      <c r="BW26" s="1216"/>
      <c r="BX26" s="1198"/>
      <c r="BY26" s="1198"/>
      <c r="BZ26" s="1198"/>
      <c r="CA26" s="1215" t="s">
        <v>1164</v>
      </c>
      <c r="CB26" s="1198"/>
      <c r="CC26" s="1648"/>
      <c r="CD26" s="1648"/>
      <c r="CE26" s="1648"/>
      <c r="CF26" s="1198"/>
      <c r="CG26" s="1198"/>
      <c r="CH26" s="1198"/>
      <c r="CI26" s="1198"/>
      <c r="CJ26" s="1198"/>
      <c r="CK26" s="1198"/>
      <c r="CL26" s="1198"/>
      <c r="CM26" s="1198"/>
      <c r="CN26" s="1198"/>
      <c r="CO26" s="1198"/>
      <c r="CP26" s="1198"/>
      <c r="CS26"/>
      <c r="CT26"/>
    </row>
    <row r="27" spans="1:99" x14ac:dyDescent="0.25">
      <c r="H27" s="1197"/>
      <c r="I27" s="1197"/>
      <c r="J27" s="1197"/>
      <c r="K27" s="1197"/>
      <c r="L27" s="1197"/>
      <c r="M27" s="1197"/>
      <c r="N27" s="1197"/>
      <c r="O27" s="1197"/>
      <c r="P27" s="1197"/>
      <c r="Q27" s="1198"/>
      <c r="R27" s="1198"/>
      <c r="S27" s="1198"/>
      <c r="T27" s="1198"/>
      <c r="U27" s="1199"/>
      <c r="V27" s="1199"/>
      <c r="W27" s="1199"/>
      <c r="X27" s="1199"/>
      <c r="Y27" s="1199"/>
      <c r="Z27" s="1199"/>
      <c r="AA27" s="1199"/>
      <c r="AB27" s="1199"/>
      <c r="AC27" s="1199"/>
      <c r="AD27" s="1199"/>
      <c r="AE27" s="1199"/>
      <c r="AF27" s="1199"/>
      <c r="AG27" s="1199"/>
      <c r="AH27" s="1199"/>
      <c r="AI27" s="1199"/>
      <c r="AJ27" s="1199"/>
      <c r="AK27" s="1198"/>
      <c r="AL27" s="1198"/>
      <c r="AM27" s="1198"/>
      <c r="AN27" s="1198"/>
      <c r="AO27" s="1198"/>
      <c r="AP27" s="1198"/>
      <c r="AQ27" s="1198"/>
      <c r="AR27" s="1198"/>
      <c r="AS27" s="1198"/>
      <c r="AT27" s="1198"/>
      <c r="AU27" s="1198"/>
      <c r="AV27" s="1198"/>
      <c r="AW27" s="1198"/>
      <c r="AX27" s="1198"/>
      <c r="AY27" s="1198"/>
      <c r="AZ27" s="1198"/>
      <c r="BA27" s="1198"/>
      <c r="BB27" s="1198"/>
      <c r="BC27" s="1198"/>
      <c r="BD27" s="1198"/>
      <c r="BE27" s="1198"/>
      <c r="BF27" s="1198"/>
      <c r="BG27" s="1198"/>
      <c r="BH27" s="1199"/>
      <c r="BI27" s="1199"/>
      <c r="BJ27" s="1199"/>
      <c r="BK27" s="1199"/>
      <c r="BL27" s="1199"/>
      <c r="BM27" s="1199"/>
      <c r="BN27" s="1199"/>
      <c r="BO27" s="1199"/>
      <c r="BP27" s="1199"/>
      <c r="BQ27" s="1198"/>
      <c r="BR27" s="1198"/>
      <c r="BS27" s="1198"/>
      <c r="BT27" s="1198"/>
      <c r="BU27" s="1198"/>
      <c r="BV27" s="1198"/>
      <c r="BW27" s="1198"/>
      <c r="BX27" s="1198"/>
      <c r="BY27" s="1198"/>
      <c r="BZ27" s="1198"/>
      <c r="CA27" s="1198"/>
      <c r="CB27" s="1198"/>
      <c r="CC27" s="1198"/>
      <c r="CD27" s="1198"/>
      <c r="CE27" s="1198"/>
      <c r="CF27" s="1198"/>
      <c r="CG27" s="1198"/>
      <c r="CH27" s="1198"/>
      <c r="CI27" s="1198"/>
      <c r="CJ27" s="1198"/>
      <c r="CK27" s="1198"/>
      <c r="CL27" s="1198"/>
      <c r="CM27" s="1198"/>
      <c r="CN27" s="1198"/>
      <c r="CO27" s="1198"/>
      <c r="CP27" s="1198"/>
      <c r="CS27"/>
      <c r="CT27"/>
      <c r="CU27" s="127"/>
    </row>
    <row r="28" spans="1:99" x14ac:dyDescent="0.25">
      <c r="H28" s="1197"/>
      <c r="I28" s="1197"/>
      <c r="J28" s="1197"/>
      <c r="K28" s="1197"/>
      <c r="L28" s="1197"/>
      <c r="M28" s="1197"/>
      <c r="N28" s="1197"/>
      <c r="O28" s="1197"/>
      <c r="P28" s="1197"/>
      <c r="Q28" s="1198"/>
      <c r="R28" s="1198"/>
      <c r="S28" s="1198"/>
      <c r="T28" s="1198"/>
      <c r="U28" s="1199"/>
      <c r="V28" s="1199"/>
      <c r="W28" s="1199"/>
      <c r="X28" s="1199"/>
      <c r="Y28" s="1199"/>
      <c r="Z28" s="1199"/>
      <c r="AA28" s="1199"/>
      <c r="AB28" s="1199"/>
      <c r="AC28" s="1199"/>
      <c r="AD28" s="1199"/>
      <c r="AE28" s="1199"/>
      <c r="AF28" s="1199"/>
      <c r="AG28" s="1199"/>
      <c r="AH28" s="1199"/>
      <c r="AI28" s="1199"/>
      <c r="AJ28" s="1199"/>
      <c r="AK28" s="1198"/>
      <c r="AL28" s="1198"/>
      <c r="AM28" s="1198"/>
      <c r="AN28" s="1198"/>
      <c r="AO28" s="1198"/>
      <c r="AP28" s="1198"/>
      <c r="AQ28" s="1198"/>
      <c r="AR28" s="1198"/>
      <c r="AS28" s="1198"/>
      <c r="AT28" s="1198"/>
      <c r="AU28" s="1198"/>
      <c r="AV28" s="1198"/>
      <c r="AW28" s="1198"/>
      <c r="AX28" s="1198"/>
      <c r="AY28" s="1198"/>
      <c r="AZ28" s="1198"/>
      <c r="BA28" s="1198" t="s">
        <v>1165</v>
      </c>
      <c r="BB28" s="1198"/>
      <c r="BC28" s="1198"/>
      <c r="BD28" s="1198"/>
      <c r="BE28" s="1198"/>
      <c r="BF28" s="1198"/>
      <c r="BG28" s="1198"/>
      <c r="BH28" s="1198"/>
      <c r="BI28" s="1198"/>
      <c r="BJ28" s="1198"/>
      <c r="BK28" s="1198"/>
      <c r="BL28" s="1198"/>
      <c r="BM28" s="1198"/>
      <c r="BN28" s="1198"/>
      <c r="BO28" s="1198"/>
      <c r="BP28" s="1198"/>
      <c r="BQ28" s="1198"/>
      <c r="BR28" s="1198"/>
      <c r="BS28" s="1198"/>
      <c r="BT28" s="1198"/>
      <c r="BU28" s="1198"/>
      <c r="BV28" s="1198"/>
      <c r="BW28" s="1198"/>
      <c r="BX28" s="1198"/>
      <c r="BY28" s="1198"/>
      <c r="BZ28" s="1198"/>
      <c r="CA28" s="1198"/>
      <c r="CB28" s="1198"/>
      <c r="CC28" s="1198"/>
      <c r="CD28" s="1198"/>
      <c r="CE28" s="1198"/>
      <c r="CF28" s="1198"/>
      <c r="CG28" s="1198"/>
      <c r="CH28" s="1198"/>
      <c r="CI28" s="1198"/>
      <c r="CJ28" s="1198"/>
      <c r="CK28" s="1198"/>
      <c r="CL28" s="1198"/>
      <c r="CM28" s="1198"/>
      <c r="CN28" s="1198"/>
      <c r="CO28" s="1198"/>
      <c r="CP28" s="1198"/>
      <c r="CS28"/>
      <c r="CT28"/>
    </row>
    <row r="29" spans="1:99" x14ac:dyDescent="0.25">
      <c r="H29" s="1197"/>
      <c r="I29" s="1197"/>
      <c r="J29" s="1197"/>
      <c r="K29" s="1197"/>
      <c r="L29" s="1197"/>
      <c r="M29" s="1197"/>
      <c r="N29" s="1197"/>
      <c r="O29" s="1197"/>
      <c r="P29" s="1197"/>
      <c r="Q29" s="1198"/>
      <c r="R29" s="1198"/>
      <c r="S29" s="1198"/>
      <c r="T29" s="1198"/>
      <c r="U29" s="1199"/>
      <c r="V29" s="1199"/>
      <c r="W29" s="1199"/>
      <c r="X29" s="1199"/>
      <c r="Y29" s="1199"/>
      <c r="Z29" s="1199"/>
      <c r="AA29" s="1199"/>
      <c r="AB29" s="1199"/>
      <c r="AC29" s="1199"/>
      <c r="AD29" s="1199"/>
      <c r="AE29" s="1199"/>
      <c r="AF29" s="1199"/>
      <c r="AG29" s="1199"/>
      <c r="AH29" s="1199"/>
      <c r="AI29" s="1199"/>
      <c r="AJ29" s="1199"/>
      <c r="AK29" s="1198"/>
      <c r="AL29" s="1198"/>
      <c r="AM29" s="1198"/>
      <c r="AN29" s="1198"/>
      <c r="AO29" s="1198"/>
      <c r="AP29" s="1198"/>
      <c r="AQ29" s="1198"/>
      <c r="AR29" s="1198"/>
      <c r="AS29" s="1198"/>
      <c r="AT29" s="1198"/>
      <c r="AU29" s="1198"/>
      <c r="AV29" s="1198"/>
      <c r="AW29" s="1198"/>
      <c r="AX29" s="1198"/>
      <c r="AY29" s="1198"/>
      <c r="AZ29" s="1198"/>
      <c r="BA29" s="1198"/>
      <c r="BB29" s="1198"/>
      <c r="BC29" s="1198"/>
      <c r="BD29" s="1198"/>
      <c r="BE29" s="1198"/>
      <c r="BF29" s="1198"/>
      <c r="BG29" s="1198"/>
      <c r="BH29" s="1198"/>
      <c r="BI29" s="1198"/>
      <c r="BJ29" s="1198"/>
      <c r="BK29" s="1198"/>
      <c r="BL29" s="1198"/>
      <c r="BM29" s="1198"/>
      <c r="BN29" s="1198"/>
      <c r="BO29" s="1198"/>
      <c r="BP29" s="1198"/>
      <c r="BQ29" s="1198"/>
      <c r="BR29" s="1198"/>
      <c r="BS29" s="1198"/>
      <c r="BT29" s="1198"/>
      <c r="BU29" s="1198"/>
      <c r="BV29" s="1198"/>
      <c r="BW29" s="1198"/>
      <c r="BX29" s="1198"/>
      <c r="BY29" s="1198"/>
      <c r="BZ29" s="1198"/>
      <c r="CA29" s="1198"/>
      <c r="CB29" s="1198"/>
      <c r="CC29" s="1198"/>
      <c r="CD29" s="1198"/>
      <c r="CE29" s="1198"/>
      <c r="CF29" s="1198"/>
      <c r="CG29" s="1198"/>
      <c r="CH29" s="1198"/>
      <c r="CI29" s="1198"/>
      <c r="CJ29" s="1198"/>
      <c r="CK29" s="1198"/>
      <c r="CL29" s="1198"/>
      <c r="CM29" s="1198"/>
      <c r="CN29" s="1198"/>
      <c r="CO29" s="1198"/>
      <c r="CP29" s="1198"/>
      <c r="CS29"/>
      <c r="CT29"/>
    </row>
    <row r="30" spans="1:99" ht="18" x14ac:dyDescent="0.25">
      <c r="H30" s="1197"/>
      <c r="I30" s="1197"/>
      <c r="J30" s="1197"/>
      <c r="K30" s="1197"/>
      <c r="L30" s="1197"/>
      <c r="M30" s="1197"/>
      <c r="N30" s="1197"/>
      <c r="O30" s="1197"/>
      <c r="P30" s="1197"/>
      <c r="Q30" s="1198"/>
      <c r="R30" s="1198"/>
      <c r="S30" s="1198"/>
      <c r="T30" s="1198"/>
      <c r="U30" s="1198"/>
      <c r="V30" s="1200" t="s">
        <v>1166</v>
      </c>
      <c r="W30" s="1200"/>
      <c r="X30" s="1200"/>
      <c r="Y30" s="1200"/>
      <c r="Z30" s="1200"/>
      <c r="AA30" s="1200"/>
      <c r="AB30" s="1200"/>
      <c r="AC30" s="1200"/>
      <c r="AD30" s="1200"/>
      <c r="AE30" s="1200"/>
      <c r="AF30" s="1200"/>
      <c r="AG30" s="1200"/>
      <c r="AH30" s="1200"/>
      <c r="AI30" s="1200"/>
      <c r="AJ30" s="1200"/>
      <c r="AK30" s="1200"/>
      <c r="AL30" s="1200"/>
      <c r="AM30" s="1200"/>
      <c r="AN30" s="1200"/>
      <c r="AO30" s="1200"/>
      <c r="AP30" s="1200"/>
      <c r="AQ30" s="1200"/>
      <c r="AR30" s="1200"/>
      <c r="AS30" s="1200"/>
      <c r="AT30" s="1200"/>
      <c r="AU30" s="1200"/>
      <c r="AV30" s="1200"/>
      <c r="AW30" s="1200"/>
      <c r="AX30" s="1200"/>
      <c r="AY30" s="1200"/>
      <c r="AZ30" s="1200"/>
      <c r="BA30" s="1200"/>
      <c r="BB30" s="1200"/>
      <c r="BC30" s="1200"/>
      <c r="BD30" s="1200"/>
      <c r="BE30" s="1200"/>
      <c r="BF30" s="1200"/>
      <c r="BG30" s="1200"/>
      <c r="BH30" s="1198"/>
      <c r="BI30" s="1198"/>
      <c r="BJ30" s="1198"/>
      <c r="BK30" s="1198"/>
      <c r="BL30" s="1198"/>
      <c r="BM30" s="1198"/>
      <c r="BN30" s="1198"/>
      <c r="BO30" s="1198"/>
      <c r="BP30" s="1198"/>
      <c r="BQ30" s="1198"/>
      <c r="BR30" s="1198"/>
      <c r="BS30" s="1198"/>
      <c r="BT30" s="1198"/>
      <c r="BU30" s="1198"/>
      <c r="BV30" s="1198"/>
      <c r="BW30" s="1198"/>
      <c r="BX30" s="1198"/>
      <c r="BY30" s="1198"/>
      <c r="BZ30" s="1198"/>
      <c r="CA30" s="1198"/>
      <c r="CB30" s="1198"/>
      <c r="CC30" s="1198"/>
      <c r="CD30" s="1198"/>
      <c r="CE30" s="1198"/>
      <c r="CF30" s="1198"/>
      <c r="CG30" s="1198"/>
      <c r="CH30" s="1198"/>
      <c r="CI30" s="1198"/>
      <c r="CJ30" s="1198"/>
      <c r="CK30" s="1198"/>
      <c r="CL30" s="1198"/>
      <c r="CM30" s="1198"/>
      <c r="CN30" s="1198"/>
      <c r="CO30" s="1198"/>
      <c r="CP30" s="1198"/>
    </row>
    <row r="31" spans="1:99" x14ac:dyDescent="0.25">
      <c r="H31" s="1197"/>
      <c r="I31" s="1197"/>
      <c r="J31" s="1197"/>
      <c r="K31" s="1197"/>
      <c r="L31" s="1197"/>
      <c r="M31" s="1197"/>
      <c r="N31" s="1197"/>
      <c r="O31" s="1197"/>
      <c r="P31" s="1197"/>
      <c r="Q31" s="1198"/>
      <c r="R31" s="1198"/>
      <c r="S31" s="1198"/>
      <c r="T31" s="1198"/>
      <c r="U31" s="1199"/>
      <c r="V31" s="1199"/>
      <c r="W31" s="1199"/>
      <c r="X31" s="1199"/>
      <c r="Y31" s="1199"/>
      <c r="Z31" s="1199"/>
      <c r="AA31" s="1199"/>
      <c r="AB31" s="1199"/>
      <c r="AC31" s="1199"/>
      <c r="AD31" s="1199"/>
      <c r="AE31" s="1199"/>
      <c r="AF31" s="1199"/>
      <c r="AG31" s="1199"/>
      <c r="AH31" s="1199"/>
      <c r="AI31" s="1199"/>
      <c r="AJ31" s="1199"/>
      <c r="AK31" s="1198"/>
      <c r="AL31" s="1198"/>
      <c r="AM31" s="1198"/>
      <c r="AN31" s="1198"/>
      <c r="AO31" s="1198"/>
      <c r="AP31" s="1198"/>
      <c r="AQ31" s="1198"/>
      <c r="AR31" s="1198"/>
      <c r="AS31" s="1198"/>
      <c r="AT31" s="1198"/>
      <c r="AU31" s="1198"/>
      <c r="AV31" s="1198"/>
      <c r="AW31" s="1198"/>
      <c r="AX31" s="1198"/>
      <c r="AY31" s="1198"/>
      <c r="AZ31" s="1198"/>
      <c r="BA31" s="1198"/>
      <c r="BB31" s="1198"/>
      <c r="BC31" s="1198"/>
      <c r="BD31" s="1198"/>
      <c r="BE31" s="1198"/>
      <c r="BF31" s="1198"/>
      <c r="BG31" s="1198"/>
      <c r="BH31" s="1198"/>
      <c r="BI31" s="1198"/>
      <c r="BJ31" s="1198"/>
      <c r="BK31" s="1198"/>
      <c r="BL31" s="1198"/>
      <c r="BM31" s="1198"/>
      <c r="BN31" s="1198"/>
      <c r="BO31" s="1198"/>
      <c r="BP31" s="1198"/>
      <c r="BQ31" s="1198"/>
      <c r="BR31" s="1198"/>
      <c r="BS31" s="1198"/>
      <c r="BT31" s="1198"/>
      <c r="BU31" s="1198"/>
      <c r="BV31" s="1198"/>
      <c r="BW31" s="1198"/>
      <c r="BX31" s="1198"/>
      <c r="BY31" s="1198"/>
      <c r="BZ31" s="1198"/>
      <c r="CA31" s="1198"/>
      <c r="CB31" s="1198"/>
      <c r="CC31" s="1198"/>
      <c r="CD31" s="1198"/>
      <c r="CE31" s="1198"/>
      <c r="CF31" s="1198"/>
      <c r="CG31" s="1198"/>
      <c r="CH31" s="1198"/>
      <c r="CI31" s="1198"/>
      <c r="CJ31" s="1198"/>
      <c r="CK31" s="1198"/>
      <c r="CL31" s="1198"/>
      <c r="CM31" s="1198"/>
      <c r="CN31" s="1198"/>
      <c r="CO31" s="1198"/>
      <c r="CP31" s="1198"/>
    </row>
    <row r="32" spans="1:99" x14ac:dyDescent="0.25">
      <c r="H32" s="1197"/>
      <c r="I32" s="1197"/>
      <c r="J32" s="1197"/>
      <c r="K32" s="1197"/>
      <c r="L32" s="1197"/>
      <c r="M32" s="1197"/>
      <c r="N32" s="1197"/>
      <c r="O32" s="1197"/>
      <c r="P32" s="1197"/>
      <c r="Q32" s="1198"/>
      <c r="R32" s="1198"/>
      <c r="S32" s="1198"/>
      <c r="T32" s="1198"/>
      <c r="U32" s="1199"/>
      <c r="V32" s="1637" t="s">
        <v>1167</v>
      </c>
      <c r="W32" s="1637"/>
      <c r="X32" s="1637"/>
      <c r="Y32" s="1637"/>
      <c r="Z32" s="1637"/>
      <c r="AA32" s="1637"/>
      <c r="AB32" s="1637"/>
      <c r="AC32" s="1637"/>
      <c r="AD32" s="1637"/>
      <c r="AE32" s="1637"/>
      <c r="AF32" s="1637"/>
      <c r="AG32" s="1637"/>
      <c r="AH32" s="1637"/>
      <c r="AI32" s="1637"/>
      <c r="AJ32" s="1637"/>
      <c r="AK32" s="1198"/>
      <c r="AL32" s="1645"/>
      <c r="AM32" s="1645"/>
      <c r="AN32" s="1645"/>
      <c r="AO32" s="1645"/>
      <c r="AP32" s="1645"/>
      <c r="AQ32" s="1645"/>
      <c r="AR32" s="1645"/>
      <c r="AS32" s="1645"/>
      <c r="AT32" s="1645"/>
      <c r="AU32" s="1645"/>
      <c r="AV32" s="1645"/>
      <c r="AW32" s="1645"/>
      <c r="AX32" s="1645"/>
      <c r="AY32" s="1645"/>
      <c r="AZ32" s="1645"/>
      <c r="BA32" s="1645"/>
      <c r="BB32" s="1645"/>
      <c r="BC32" s="1645"/>
      <c r="BD32" s="1645"/>
      <c r="BE32" s="1645"/>
      <c r="BF32" s="1645"/>
      <c r="BG32" s="1645"/>
      <c r="BH32" s="1198"/>
      <c r="BI32" s="1637" t="s">
        <v>1167</v>
      </c>
      <c r="BJ32" s="1637"/>
      <c r="BK32" s="1637"/>
      <c r="BL32" s="1637"/>
      <c r="BM32" s="1637"/>
      <c r="BN32" s="1637"/>
      <c r="BO32" s="1637"/>
      <c r="BP32" s="1213"/>
      <c r="BQ32" s="1645"/>
      <c r="BR32" s="1645"/>
      <c r="BS32" s="1645"/>
      <c r="BT32" s="1645"/>
      <c r="BU32" s="1645"/>
      <c r="BV32" s="1645"/>
      <c r="BW32" s="1645"/>
      <c r="BX32" s="1645"/>
      <c r="BY32" s="1645"/>
      <c r="BZ32" s="1645"/>
      <c r="CA32" s="1645"/>
      <c r="CB32" s="1645"/>
      <c r="CC32" s="1645"/>
      <c r="CD32" s="1645"/>
      <c r="CE32" s="1645"/>
      <c r="CF32" s="1645"/>
      <c r="CG32" s="1645"/>
      <c r="CH32" s="1645"/>
      <c r="CI32" s="1645"/>
      <c r="CJ32" s="1645"/>
      <c r="CK32" s="1645"/>
      <c r="CL32" s="1645"/>
      <c r="CM32" s="1198"/>
      <c r="CN32" s="1198"/>
      <c r="CO32" s="1198"/>
      <c r="CP32" s="1198"/>
    </row>
    <row r="33" spans="2:94" x14ac:dyDescent="0.25">
      <c r="H33" s="1197"/>
      <c r="I33" s="1197"/>
      <c r="J33" s="1197"/>
      <c r="K33" s="1197"/>
      <c r="L33" s="1197"/>
      <c r="M33" s="1197"/>
      <c r="N33" s="1197"/>
      <c r="O33" s="1197"/>
      <c r="P33" s="1197"/>
      <c r="Q33" s="1198"/>
      <c r="R33" s="1198"/>
      <c r="S33" s="1198"/>
      <c r="T33" s="1198"/>
      <c r="U33" s="1199"/>
      <c r="V33" s="1637" t="s">
        <v>1168</v>
      </c>
      <c r="W33" s="1637"/>
      <c r="X33" s="1637"/>
      <c r="Y33" s="1637"/>
      <c r="Z33" s="1637"/>
      <c r="AA33" s="1637"/>
      <c r="AB33" s="1637"/>
      <c r="AC33" s="1637"/>
      <c r="AD33" s="1637"/>
      <c r="AE33" s="1637"/>
      <c r="AF33" s="1637"/>
      <c r="AG33" s="1637"/>
      <c r="AH33" s="1637"/>
      <c r="AI33" s="1637"/>
      <c r="AJ33" s="1637"/>
      <c r="AK33" s="1198"/>
      <c r="AL33" s="1646"/>
      <c r="AM33" s="1646"/>
      <c r="AN33" s="1646"/>
      <c r="AO33" s="1646"/>
      <c r="AP33" s="1646"/>
      <c r="AQ33" s="1646"/>
      <c r="AR33" s="1646"/>
      <c r="AS33" s="1646"/>
      <c r="AT33" s="1646"/>
      <c r="AU33" s="1646"/>
      <c r="AV33" s="1646"/>
      <c r="AW33" s="1646"/>
      <c r="AX33" s="1646"/>
      <c r="AY33" s="1646"/>
      <c r="AZ33" s="1646"/>
      <c r="BA33" s="1646"/>
      <c r="BB33" s="1646"/>
      <c r="BC33" s="1646"/>
      <c r="BD33" s="1646"/>
      <c r="BE33" s="1646"/>
      <c r="BF33" s="1646"/>
      <c r="BG33" s="1646"/>
      <c r="BH33" s="1208"/>
      <c r="BI33" s="1637" t="s">
        <v>1168</v>
      </c>
      <c r="BJ33" s="1637"/>
      <c r="BK33" s="1637"/>
      <c r="BL33" s="1637"/>
      <c r="BM33" s="1637"/>
      <c r="BN33" s="1637"/>
      <c r="BO33" s="1637"/>
      <c r="BP33" s="1213"/>
      <c r="BQ33" s="1646"/>
      <c r="BR33" s="1646"/>
      <c r="BS33" s="1646"/>
      <c r="BT33" s="1646"/>
      <c r="BU33" s="1646"/>
      <c r="BV33" s="1646"/>
      <c r="BW33" s="1646"/>
      <c r="BX33" s="1646"/>
      <c r="BY33" s="1646"/>
      <c r="BZ33" s="1646"/>
      <c r="CA33" s="1646"/>
      <c r="CB33" s="1646"/>
      <c r="CC33" s="1646"/>
      <c r="CD33" s="1646"/>
      <c r="CE33" s="1646"/>
      <c r="CF33" s="1646"/>
      <c r="CG33" s="1646"/>
      <c r="CH33" s="1646"/>
      <c r="CI33" s="1646"/>
      <c r="CJ33" s="1646"/>
      <c r="CK33" s="1646"/>
      <c r="CL33" s="1646"/>
      <c r="CM33" s="1198"/>
      <c r="CN33" s="1198"/>
      <c r="CO33" s="1198"/>
      <c r="CP33" s="1198"/>
    </row>
    <row r="34" spans="2:94" x14ac:dyDescent="0.25">
      <c r="H34" s="1197"/>
      <c r="I34" s="1197"/>
      <c r="J34" s="1197"/>
      <c r="K34" s="1197"/>
      <c r="L34" s="1197"/>
      <c r="M34" s="1197"/>
      <c r="N34" s="1197"/>
      <c r="O34" s="1197"/>
      <c r="P34" s="1197"/>
      <c r="Q34" s="1198"/>
      <c r="R34" s="1198"/>
      <c r="S34" s="1198"/>
      <c r="T34" s="1198"/>
      <c r="U34" s="1199"/>
      <c r="V34" s="1637" t="s">
        <v>1169</v>
      </c>
      <c r="W34" s="1637"/>
      <c r="X34" s="1637"/>
      <c r="Y34" s="1637"/>
      <c r="Z34" s="1637"/>
      <c r="AA34" s="1637"/>
      <c r="AB34" s="1637"/>
      <c r="AC34" s="1637"/>
      <c r="AD34" s="1637"/>
      <c r="AE34" s="1637"/>
      <c r="AF34" s="1637"/>
      <c r="AG34" s="1637"/>
      <c r="AH34" s="1637"/>
      <c r="AI34" s="1637"/>
      <c r="AJ34" s="1637"/>
      <c r="AK34" s="1198"/>
      <c r="AL34" s="1645"/>
      <c r="AM34" s="1645"/>
      <c r="AN34" s="1645"/>
      <c r="AO34" s="1645"/>
      <c r="AP34" s="1645"/>
      <c r="AQ34" s="1645"/>
      <c r="AR34" s="1645"/>
      <c r="AS34" s="1645"/>
      <c r="AT34" s="1645"/>
      <c r="AU34" s="1645"/>
      <c r="AV34" s="1645"/>
      <c r="AW34" s="1645"/>
      <c r="AX34" s="1645"/>
      <c r="AY34" s="1645"/>
      <c r="AZ34" s="1645"/>
      <c r="BA34" s="1645"/>
      <c r="BB34" s="1645"/>
      <c r="BC34" s="1645"/>
      <c r="BD34" s="1645"/>
      <c r="BE34" s="1645"/>
      <c r="BF34" s="1645"/>
      <c r="BG34" s="1645"/>
      <c r="BH34" s="1198"/>
      <c r="BI34" s="1637" t="s">
        <v>1169</v>
      </c>
      <c r="BJ34" s="1637"/>
      <c r="BK34" s="1637"/>
      <c r="BL34" s="1637"/>
      <c r="BM34" s="1637"/>
      <c r="BN34" s="1637"/>
      <c r="BO34" s="1637"/>
      <c r="BP34" s="1213"/>
      <c r="BQ34" s="1645"/>
      <c r="BR34" s="1645"/>
      <c r="BS34" s="1645"/>
      <c r="BT34" s="1645"/>
      <c r="BU34" s="1645"/>
      <c r="BV34" s="1645"/>
      <c r="BW34" s="1645"/>
      <c r="BX34" s="1645"/>
      <c r="BY34" s="1645"/>
      <c r="BZ34" s="1645"/>
      <c r="CA34" s="1645"/>
      <c r="CB34" s="1645"/>
      <c r="CC34" s="1645"/>
      <c r="CD34" s="1645"/>
      <c r="CE34" s="1645"/>
      <c r="CF34" s="1645"/>
      <c r="CG34" s="1645"/>
      <c r="CH34" s="1645"/>
      <c r="CI34" s="1645"/>
      <c r="CJ34" s="1645"/>
      <c r="CK34" s="1645"/>
      <c r="CL34" s="1645"/>
      <c r="CM34" s="1198"/>
      <c r="CN34" s="1198"/>
      <c r="CO34" s="1198"/>
      <c r="CP34" s="1198"/>
    </row>
    <row r="35" spans="2:94" x14ac:dyDescent="0.25">
      <c r="H35" s="1197"/>
      <c r="I35" s="1197"/>
      <c r="J35" s="1197"/>
      <c r="K35" s="1197"/>
      <c r="L35" s="1197"/>
      <c r="M35" s="1197"/>
      <c r="N35" s="1197"/>
      <c r="O35" s="1197"/>
      <c r="P35" s="1197"/>
      <c r="Q35" s="1198"/>
      <c r="R35" s="1198"/>
      <c r="S35" s="1198"/>
      <c r="T35" s="1198"/>
      <c r="U35" s="1199"/>
      <c r="V35" s="1199"/>
      <c r="W35" s="1199"/>
      <c r="X35" s="1199"/>
      <c r="Y35" s="1199"/>
      <c r="Z35" s="1199"/>
      <c r="AA35" s="1199"/>
      <c r="AB35" s="1199"/>
      <c r="AC35" s="1199"/>
      <c r="AD35" s="1199"/>
      <c r="AE35" s="1199"/>
      <c r="AF35" s="1199"/>
      <c r="AG35" s="1199"/>
      <c r="AH35" s="1199"/>
      <c r="AI35" s="1199"/>
      <c r="AJ35" s="1199"/>
      <c r="AK35" s="1198"/>
      <c r="AL35" s="1198"/>
      <c r="AM35" s="1198"/>
      <c r="AN35" s="1198"/>
      <c r="AO35" s="1198"/>
      <c r="AP35" s="1198"/>
      <c r="AQ35" s="1198"/>
      <c r="AR35" s="1198"/>
      <c r="AS35" s="1198"/>
      <c r="AT35" s="1198"/>
      <c r="AU35" s="1198"/>
      <c r="AV35" s="1198"/>
      <c r="AW35" s="1198"/>
      <c r="AX35" s="1198"/>
      <c r="AY35" s="1198"/>
      <c r="AZ35" s="1198"/>
      <c r="BA35" s="1198"/>
      <c r="BB35" s="1198"/>
      <c r="BC35" s="1198"/>
      <c r="BD35" s="1198"/>
      <c r="BE35" s="1198"/>
      <c r="BF35" s="1198"/>
      <c r="BG35" s="1198"/>
      <c r="BH35" s="1198"/>
      <c r="BI35" s="1198"/>
      <c r="BJ35" s="1198"/>
      <c r="BK35" s="1198"/>
      <c r="BL35" s="1198"/>
      <c r="BM35" s="1198"/>
      <c r="BN35" s="1198"/>
      <c r="BO35" s="1198"/>
      <c r="BP35" s="1198"/>
      <c r="BQ35" s="1198"/>
      <c r="BR35" s="1198"/>
      <c r="BS35" s="1198"/>
      <c r="BT35" s="1198"/>
      <c r="BU35" s="1198"/>
      <c r="BV35" s="1198"/>
      <c r="BW35" s="1198"/>
      <c r="BX35" s="1198"/>
      <c r="BY35" s="1198"/>
      <c r="BZ35" s="1198"/>
      <c r="CA35" s="1198"/>
      <c r="CB35" s="1198"/>
      <c r="CC35" s="1198"/>
      <c r="CD35" s="1198"/>
      <c r="CE35" s="1198"/>
      <c r="CF35" s="1198"/>
      <c r="CG35" s="1198"/>
      <c r="CH35" s="1198"/>
      <c r="CI35" s="1198"/>
      <c r="CJ35" s="1198"/>
      <c r="CK35" s="1198"/>
      <c r="CL35" s="1198"/>
      <c r="CM35" s="1198"/>
      <c r="CN35" s="1198"/>
      <c r="CO35" s="1198"/>
      <c r="CP35" s="1198"/>
    </row>
    <row r="36" spans="2:94" x14ac:dyDescent="0.25">
      <c r="H36" s="1197"/>
      <c r="I36" s="1197"/>
      <c r="J36" s="1197"/>
      <c r="K36" s="1197"/>
      <c r="L36" s="1197"/>
      <c r="M36" s="1197"/>
      <c r="N36" s="1197"/>
      <c r="O36" s="1197"/>
      <c r="P36" s="1197"/>
      <c r="Q36" s="1198"/>
      <c r="R36" s="1198"/>
      <c r="S36" s="1198"/>
      <c r="T36" s="1198"/>
      <c r="U36" s="1199"/>
      <c r="V36" s="1199"/>
      <c r="W36" s="1199"/>
      <c r="X36" s="1199"/>
      <c r="Y36" s="1199"/>
      <c r="Z36" s="1199"/>
      <c r="AA36" s="1199"/>
      <c r="AB36" s="1199"/>
      <c r="AC36" s="1199"/>
      <c r="AD36" s="1199"/>
      <c r="AE36" s="1199"/>
      <c r="AF36" s="1199"/>
      <c r="AG36" s="1199"/>
      <c r="AH36" s="1199"/>
      <c r="AI36" s="1199"/>
      <c r="AJ36" s="1199"/>
      <c r="AK36" s="1198"/>
      <c r="AL36" s="1198"/>
      <c r="AM36" s="1198"/>
      <c r="AN36" s="1198"/>
      <c r="AO36" s="1198"/>
      <c r="AP36" s="1198"/>
      <c r="AQ36" s="1198"/>
      <c r="AR36" s="1198"/>
      <c r="AS36" s="1198"/>
      <c r="AT36" s="1198"/>
      <c r="AU36" s="1198"/>
      <c r="AV36" s="1198"/>
      <c r="AW36" s="1198"/>
      <c r="AX36" s="1198"/>
      <c r="AY36" s="1198"/>
      <c r="AZ36" s="1198"/>
      <c r="BA36" s="1198"/>
      <c r="BB36" s="1198"/>
      <c r="BC36" s="1198"/>
      <c r="BD36" s="1198"/>
      <c r="BE36" s="1198"/>
      <c r="BF36" s="1198"/>
      <c r="BG36" s="1198"/>
      <c r="BH36" s="1198"/>
      <c r="BI36" s="1198"/>
      <c r="BJ36" s="1198"/>
      <c r="BK36" s="1198"/>
      <c r="BL36" s="1198"/>
      <c r="BM36" s="1198"/>
      <c r="BN36" s="1198"/>
      <c r="BO36" s="1198"/>
      <c r="BP36" s="1198"/>
      <c r="BQ36" s="1198"/>
      <c r="BR36" s="1198"/>
      <c r="BS36" s="1198"/>
      <c r="BT36" s="1198"/>
      <c r="BU36" s="1198"/>
      <c r="BV36" s="1198"/>
      <c r="BW36" s="1198"/>
      <c r="BX36" s="1198"/>
      <c r="BY36" s="1198"/>
      <c r="BZ36" s="1198"/>
      <c r="CA36" s="1198"/>
      <c r="CB36" s="1198"/>
      <c r="CC36" s="1198"/>
      <c r="CD36" s="1198"/>
      <c r="CE36" s="1198"/>
      <c r="CF36" s="1198"/>
      <c r="CG36" s="1198"/>
      <c r="CH36" s="1198"/>
      <c r="CI36" s="1198"/>
      <c r="CJ36" s="1198"/>
      <c r="CK36" s="1198"/>
      <c r="CL36" s="1198"/>
      <c r="CM36" s="1198"/>
      <c r="CN36" s="1198"/>
      <c r="CO36" s="1198"/>
      <c r="CP36" s="1198"/>
    </row>
    <row r="37" spans="2:94" x14ac:dyDescent="0.25">
      <c r="H37" s="1217"/>
      <c r="I37" s="1217"/>
      <c r="J37" s="1217"/>
      <c r="K37" s="1217"/>
      <c r="L37" s="1217"/>
      <c r="M37" s="1217"/>
      <c r="N37" s="1217"/>
      <c r="O37" s="1217"/>
      <c r="P37" s="1217"/>
      <c r="Q37" s="1217"/>
      <c r="R37" s="1217"/>
      <c r="S37" s="1217"/>
      <c r="T37" s="1217"/>
      <c r="U37" s="1217"/>
      <c r="V37" s="1217"/>
      <c r="W37" s="1217"/>
      <c r="X37" s="1217"/>
      <c r="Y37" s="1217"/>
      <c r="Z37" s="1217"/>
      <c r="AA37" s="1217"/>
      <c r="AB37" s="1217"/>
      <c r="AC37" s="1217"/>
      <c r="AD37" s="1217"/>
      <c r="AE37" s="1217"/>
      <c r="AF37" s="1218"/>
      <c r="AG37" s="1218"/>
      <c r="AH37" s="1218"/>
      <c r="AI37" s="1218"/>
      <c r="AJ37" s="1218"/>
      <c r="AK37" s="1218"/>
      <c r="AL37" s="1218"/>
      <c r="AM37" s="1218"/>
      <c r="AN37" s="1218"/>
      <c r="AO37" s="1218"/>
      <c r="AP37" s="1218"/>
      <c r="AQ37" s="1218"/>
      <c r="AR37" s="1218"/>
      <c r="AS37" s="1218"/>
      <c r="AT37" s="1218"/>
      <c r="AU37" s="1218"/>
      <c r="AV37" s="1218"/>
      <c r="AW37" s="1218"/>
      <c r="AX37" s="1218"/>
      <c r="AY37" s="1217"/>
      <c r="AZ37" s="1217"/>
      <c r="BA37" s="1217"/>
      <c r="BB37" s="1217"/>
      <c r="BC37" s="1217"/>
      <c r="BD37" s="1217"/>
      <c r="BE37" s="1217"/>
      <c r="BF37" s="1217"/>
      <c r="BG37" s="1217"/>
      <c r="BH37" s="1217"/>
      <c r="BI37" s="1217"/>
      <c r="BJ37" s="1217"/>
      <c r="BK37" s="1217"/>
      <c r="BL37" s="1217"/>
      <c r="BM37" s="1217"/>
      <c r="BN37" s="1217"/>
      <c r="BO37" s="1217"/>
      <c r="BP37" s="1217"/>
      <c r="BQ37" s="1217"/>
      <c r="BR37" s="1217"/>
      <c r="BS37" s="1217"/>
      <c r="BT37" s="1217"/>
      <c r="BU37" s="1217"/>
      <c r="BV37" s="1217"/>
      <c r="BW37" s="1217"/>
      <c r="BX37" s="1217"/>
      <c r="BY37" s="1217"/>
      <c r="BZ37" s="1217"/>
      <c r="CA37" s="1217"/>
      <c r="CB37" s="1217"/>
      <c r="CC37" s="1217"/>
      <c r="CD37" s="1217"/>
      <c r="CE37" s="1217"/>
      <c r="CF37" s="1217"/>
      <c r="CG37" s="1217"/>
      <c r="CH37" s="1217"/>
      <c r="CI37" s="1217"/>
      <c r="CJ37" s="1217"/>
      <c r="CK37" s="1217"/>
      <c r="CL37" s="1217"/>
      <c r="CM37" s="1217"/>
      <c r="CN37" s="1217"/>
      <c r="CO37" s="1217"/>
      <c r="CP37" s="1217"/>
    </row>
    <row r="38" spans="2:94" x14ac:dyDescent="0.25">
      <c r="H38" s="1219"/>
      <c r="I38" s="1219"/>
      <c r="J38" s="1219"/>
      <c r="Q38" s="1199"/>
      <c r="R38" s="1199"/>
      <c r="S38" s="1199"/>
      <c r="T38" s="1199"/>
      <c r="U38" s="1199"/>
      <c r="V38" s="1199"/>
      <c r="W38" s="1199"/>
      <c r="X38" s="1199"/>
      <c r="Y38" s="1199"/>
      <c r="Z38" s="1199"/>
      <c r="AA38" s="1199"/>
      <c r="AB38" s="1199"/>
      <c r="AC38" s="1199"/>
      <c r="AD38" s="1199"/>
      <c r="AE38" s="1199"/>
      <c r="AF38" s="1199"/>
      <c r="AG38" s="1199"/>
      <c r="AH38" s="1199"/>
      <c r="AI38" s="1199"/>
      <c r="AJ38" s="1199"/>
      <c r="AK38" s="1199"/>
      <c r="AL38" s="1199"/>
      <c r="AM38" s="1199"/>
      <c r="AN38" s="1199"/>
      <c r="AO38" s="1199"/>
      <c r="AP38" s="1199"/>
      <c r="AQ38" s="1199"/>
      <c r="AR38" s="1199"/>
      <c r="AS38" s="1199"/>
      <c r="AT38" s="1199"/>
      <c r="AU38" s="1199"/>
      <c r="AV38" s="1199"/>
      <c r="AW38" s="1199"/>
      <c r="AX38" s="1199"/>
      <c r="AY38" s="1199"/>
      <c r="AZ38" s="1199"/>
      <c r="BA38" s="1199"/>
      <c r="BB38" s="1199"/>
      <c r="BC38" s="1199"/>
      <c r="BD38" s="1199"/>
      <c r="BE38" s="1199"/>
      <c r="BF38" s="1199"/>
      <c r="BG38" s="1199"/>
      <c r="BH38" s="1199"/>
      <c r="BI38" s="1199"/>
      <c r="BJ38" s="1199"/>
      <c r="BK38" s="1199"/>
      <c r="BL38" s="1199"/>
      <c r="BM38" s="1199"/>
      <c r="BN38" s="1199"/>
      <c r="BO38" s="1199"/>
      <c r="BP38" s="1199"/>
      <c r="BQ38" s="1199"/>
      <c r="BR38" s="1199"/>
      <c r="BS38" s="1199"/>
      <c r="BT38" s="1199"/>
      <c r="BU38" s="1199"/>
      <c r="BV38" s="1199"/>
      <c r="BW38" s="1199"/>
      <c r="BX38" s="1199"/>
      <c r="BY38" s="1199"/>
      <c r="BZ38" s="1199"/>
      <c r="CA38" s="1199"/>
      <c r="CB38" s="1199"/>
      <c r="CC38" s="1199"/>
      <c r="CD38" s="1199"/>
      <c r="CE38" s="1199"/>
      <c r="CF38" s="1199"/>
      <c r="CG38" s="1199"/>
      <c r="CH38" s="1199"/>
      <c r="CI38" s="1199"/>
      <c r="CJ38" s="1199"/>
      <c r="CK38" s="1199"/>
      <c r="CL38" s="1199"/>
      <c r="CM38" s="1199"/>
      <c r="CN38" s="1199"/>
      <c r="CO38" s="1199"/>
      <c r="CP38" s="1199"/>
    </row>
    <row r="39" spans="2:94" ht="30" x14ac:dyDescent="0.25">
      <c r="H39" s="1220"/>
      <c r="I39" s="1220"/>
      <c r="J39" s="1220"/>
      <c r="Q39" s="1193" t="s">
        <v>1200</v>
      </c>
      <c r="R39" s="1193"/>
      <c r="S39" s="1193"/>
      <c r="T39" s="1193"/>
      <c r="U39" s="1193"/>
      <c r="V39" s="1193"/>
      <c r="W39" s="1193"/>
      <c r="X39" s="1193"/>
      <c r="Y39" s="1193"/>
      <c r="Z39" s="1193"/>
      <c r="AA39" s="1193"/>
      <c r="AB39" s="1193"/>
      <c r="AC39" s="1193"/>
      <c r="AD39" s="1193"/>
      <c r="AE39" s="1193"/>
      <c r="AF39" s="1193"/>
      <c r="AG39" s="1193"/>
      <c r="AH39" s="1193"/>
      <c r="AI39" s="1193"/>
      <c r="AJ39" s="1193"/>
      <c r="AK39" s="1193"/>
      <c r="AL39" s="1193"/>
      <c r="AM39" s="1193"/>
      <c r="AN39" s="1193"/>
      <c r="AO39" s="1193"/>
      <c r="AP39" s="1193"/>
      <c r="AQ39" s="1193"/>
      <c r="AR39" s="1193"/>
      <c r="AS39" s="1193"/>
      <c r="AT39" s="1193"/>
      <c r="AU39" s="1193"/>
      <c r="AV39" s="1193"/>
      <c r="AW39" s="1193"/>
      <c r="AX39" s="1193"/>
      <c r="AY39" s="1193"/>
      <c r="AZ39" s="1193"/>
      <c r="BA39" s="1193"/>
      <c r="BB39" s="1193"/>
      <c r="BC39" s="1193"/>
      <c r="BD39" s="1193"/>
      <c r="BE39" s="1193"/>
      <c r="BF39" s="1193"/>
      <c r="BG39" s="1193"/>
      <c r="BH39" s="1193"/>
      <c r="BI39" s="1193"/>
      <c r="BJ39" s="1193"/>
      <c r="BK39" s="1193"/>
      <c r="BL39" s="1193"/>
      <c r="BM39" s="1193"/>
      <c r="BN39" s="1193"/>
      <c r="BO39" s="1193"/>
      <c r="BP39" s="1193"/>
      <c r="BQ39" s="1193"/>
      <c r="BR39" s="1193"/>
      <c r="BS39" s="1193"/>
      <c r="BT39" s="1193"/>
      <c r="BU39" s="1193"/>
      <c r="BV39" s="1193"/>
      <c r="BW39" s="1193"/>
      <c r="BX39" s="1193"/>
      <c r="BY39" s="1193"/>
      <c r="BZ39" s="1193"/>
      <c r="CA39" s="1193"/>
      <c r="CB39" s="1193"/>
      <c r="CC39" s="1193"/>
      <c r="CD39" s="1193"/>
      <c r="CE39" s="1193"/>
      <c r="CF39" s="1193"/>
      <c r="CG39" s="1193"/>
      <c r="CH39" s="1193"/>
      <c r="CI39" s="1193"/>
      <c r="CJ39" s="1193"/>
      <c r="CK39" s="1193"/>
      <c r="CL39" s="1193"/>
      <c r="CM39" s="1193"/>
      <c r="CN39" s="1193"/>
      <c r="CO39" s="1193"/>
      <c r="CP39" s="1193"/>
    </row>
    <row r="40" spans="2:94" x14ac:dyDescent="0.25">
      <c r="H40" s="1221"/>
      <c r="I40" s="1221"/>
      <c r="J40" s="1221"/>
      <c r="Q40" s="1222"/>
      <c r="R40" s="1222"/>
      <c r="S40" s="1222"/>
      <c r="T40" s="1222"/>
      <c r="U40" s="1222"/>
      <c r="V40" s="1222"/>
      <c r="W40" s="1222"/>
      <c r="X40" s="1222"/>
      <c r="Y40" s="1222"/>
      <c r="Z40" s="1222"/>
      <c r="AA40" s="1222"/>
      <c r="AB40" s="1222"/>
      <c r="AC40" s="1223"/>
      <c r="AD40" s="1223"/>
      <c r="AE40" s="1223"/>
      <c r="AF40" s="1223"/>
      <c r="AG40" s="1223"/>
      <c r="AH40" s="1223"/>
      <c r="AI40" s="1223"/>
      <c r="AJ40" s="1223"/>
      <c r="AK40" s="1223"/>
      <c r="AL40" s="1223"/>
      <c r="AM40" s="1223"/>
      <c r="AN40" s="1223"/>
      <c r="AO40" s="1223"/>
      <c r="AP40" s="1223"/>
      <c r="AQ40" s="1223"/>
      <c r="AR40" s="1223"/>
      <c r="AS40" s="1223"/>
      <c r="AT40" s="1223"/>
      <c r="AU40" s="1223"/>
      <c r="AV40" s="1223"/>
      <c r="AW40" s="1223"/>
      <c r="AX40" s="1223"/>
      <c r="AY40" s="1223"/>
      <c r="AZ40" s="1223"/>
      <c r="BA40" s="1223"/>
      <c r="BB40" s="1223"/>
      <c r="BC40" s="1223"/>
      <c r="BD40" s="1223"/>
      <c r="BE40" s="1223"/>
      <c r="BF40" s="1223"/>
      <c r="BG40" s="1223"/>
      <c r="BH40" s="1223"/>
      <c r="BI40" s="1223"/>
      <c r="BJ40" s="1223"/>
      <c r="BK40" s="1223"/>
      <c r="BL40" s="1223"/>
      <c r="BM40" s="1223"/>
      <c r="BN40" s="1223"/>
      <c r="BO40" s="1223"/>
      <c r="BP40" s="1223"/>
      <c r="BQ40" s="1223"/>
      <c r="BR40" s="1223"/>
      <c r="BS40" s="1223"/>
      <c r="BT40" s="1223"/>
      <c r="BU40" s="1223"/>
      <c r="BV40" s="1223"/>
      <c r="BW40" s="1223"/>
      <c r="BX40" s="1223"/>
      <c r="BY40" s="1223"/>
      <c r="BZ40" s="1223"/>
      <c r="CA40" s="1223"/>
      <c r="CB40" s="1223"/>
      <c r="CC40" s="1223"/>
      <c r="CD40" s="1223"/>
      <c r="CE40" s="1223"/>
      <c r="CF40" s="1223"/>
      <c r="CG40" s="1223"/>
      <c r="CH40" s="1223"/>
      <c r="CI40" s="1223"/>
      <c r="CJ40" s="1223"/>
      <c r="CK40" s="1223"/>
      <c r="CL40" s="1223"/>
      <c r="CM40" s="1223"/>
      <c r="CN40" s="1223"/>
      <c r="CO40" s="1222"/>
      <c r="CP40" s="1222"/>
    </row>
    <row r="41" spans="2:94" hidden="1" x14ac:dyDescent="0.25">
      <c r="H41" s="1221"/>
      <c r="I41" s="1221"/>
      <c r="J41" s="1221"/>
      <c r="Q41" s="1222"/>
      <c r="R41" s="1222"/>
      <c r="S41" s="1222"/>
      <c r="T41" s="1222"/>
      <c r="U41" s="1223"/>
      <c r="V41" s="1223"/>
      <c r="W41" s="1223"/>
      <c r="X41" s="1223"/>
      <c r="Y41" s="1223"/>
      <c r="Z41" s="1222"/>
      <c r="AA41" s="1222"/>
      <c r="AB41" s="1222"/>
      <c r="AC41" s="1222"/>
      <c r="AD41" s="1222"/>
      <c r="AE41" s="1222"/>
      <c r="AF41" s="1222"/>
      <c r="AG41" s="1222"/>
      <c r="AH41" s="1222"/>
      <c r="AI41" s="1222"/>
      <c r="AJ41" s="1222"/>
      <c r="AK41" s="1222"/>
      <c r="AL41" s="1224"/>
      <c r="AM41" s="1225"/>
      <c r="AN41" s="1225"/>
      <c r="AO41" s="1226"/>
      <c r="AP41" s="1226"/>
      <c r="AQ41" s="1226"/>
      <c r="AR41" s="1226"/>
      <c r="AS41" s="1226"/>
      <c r="AT41" s="1226"/>
      <c r="AU41" s="1224"/>
      <c r="AV41" s="1226"/>
      <c r="AW41" s="1226"/>
      <c r="AX41" s="1226"/>
      <c r="AY41" s="1226"/>
      <c r="AZ41" s="1226"/>
      <c r="BA41" s="1226"/>
      <c r="BB41" s="1226"/>
      <c r="BC41" s="1226"/>
      <c r="BD41" s="1224"/>
      <c r="BE41" s="1226"/>
      <c r="BF41" s="1226"/>
      <c r="BG41" s="1226"/>
      <c r="BH41" s="1226"/>
      <c r="BI41" s="1226"/>
      <c r="BJ41" s="1226"/>
      <c r="BK41" s="1226"/>
      <c r="BL41" s="1226"/>
      <c r="BM41" s="1224"/>
      <c r="BN41" s="1226"/>
      <c r="BO41" s="1226"/>
      <c r="BP41" s="1226"/>
      <c r="BQ41" s="1226"/>
      <c r="BR41" s="1226"/>
      <c r="BS41" s="1226"/>
      <c r="BT41" s="1226"/>
      <c r="BU41" s="1226"/>
      <c r="BV41" s="1224"/>
      <c r="BW41" s="1226"/>
      <c r="BX41" s="1226"/>
      <c r="BY41" s="1226"/>
      <c r="BZ41" s="1226"/>
      <c r="CA41" s="1226"/>
      <c r="CB41" s="1226"/>
      <c r="CC41" s="1226"/>
      <c r="CD41" s="1226"/>
      <c r="CE41" s="1223"/>
      <c r="CF41" s="1223"/>
      <c r="CG41" s="1223"/>
      <c r="CH41" s="1223"/>
      <c r="CI41" s="1223"/>
      <c r="CJ41" s="1223"/>
      <c r="CK41" s="1223"/>
      <c r="CL41" s="1223"/>
      <c r="CM41" s="1223"/>
      <c r="CN41" s="1223"/>
      <c r="CO41" s="1222"/>
      <c r="CP41" s="1222"/>
    </row>
    <row r="42" spans="2:94" ht="15.75" hidden="1" customHeight="1" x14ac:dyDescent="0.25">
      <c r="B42" s="127"/>
      <c r="H42" s="1221"/>
      <c r="I42" s="1221"/>
      <c r="J42" s="1221"/>
      <c r="Q42" s="1227"/>
      <c r="R42" s="1227"/>
      <c r="S42" s="1227"/>
      <c r="T42" s="1227"/>
      <c r="U42" s="1227"/>
      <c r="V42" s="1227"/>
      <c r="W42" s="1223"/>
      <c r="X42" s="1223"/>
      <c r="Y42" s="1223"/>
      <c r="Z42" s="1649" t="s">
        <v>1170</v>
      </c>
      <c r="AA42" s="1649"/>
      <c r="AB42" s="1649"/>
      <c r="AC42" s="1649"/>
      <c r="AD42" s="1649"/>
      <c r="AE42" s="1649"/>
      <c r="AF42" s="1649"/>
      <c r="AG42" s="1649"/>
      <c r="AH42" s="1649"/>
      <c r="AI42" s="1649"/>
      <c r="AJ42" s="1228"/>
      <c r="AK42" s="1228"/>
      <c r="AL42" s="1650">
        <v>2011</v>
      </c>
      <c r="AM42" s="1650"/>
      <c r="AN42" s="1650"/>
      <c r="AO42" s="1650"/>
      <c r="AP42" s="1650"/>
      <c r="AQ42" s="1650"/>
      <c r="AR42" s="1650"/>
      <c r="AS42" s="1650"/>
      <c r="AT42" s="1229"/>
      <c r="AU42" s="1651">
        <f ca="1">FRCP_y2</f>
        <v>2012</v>
      </c>
      <c r="AV42" s="1651"/>
      <c r="AW42" s="1651"/>
      <c r="AX42" s="1651"/>
      <c r="AY42" s="1651"/>
      <c r="AZ42" s="1651"/>
      <c r="BA42" s="1651"/>
      <c r="BB42" s="1651"/>
      <c r="BC42" s="1229"/>
      <c r="BD42" s="1651">
        <f ca="1">FRCP_y3</f>
        <v>2013</v>
      </c>
      <c r="BE42" s="1651"/>
      <c r="BF42" s="1651"/>
      <c r="BG42" s="1651"/>
      <c r="BH42" s="1651"/>
      <c r="BI42" s="1651"/>
      <c r="BJ42" s="1651"/>
      <c r="BK42" s="1651"/>
      <c r="BL42" s="1229"/>
      <c r="BM42" s="1651">
        <f ca="1">FRCP_y4</f>
        <v>2014</v>
      </c>
      <c r="BN42" s="1651"/>
      <c r="BO42" s="1651"/>
      <c r="BP42" s="1651"/>
      <c r="BQ42" s="1651"/>
      <c r="BR42" s="1651"/>
      <c r="BS42" s="1651"/>
      <c r="BT42" s="1651"/>
      <c r="BU42" s="1229"/>
      <c r="BV42" s="1651">
        <f ca="1">FRCP_y5</f>
        <v>2015</v>
      </c>
      <c r="BW42" s="1651"/>
      <c r="BX42" s="1651"/>
      <c r="BY42" s="1651"/>
      <c r="BZ42" s="1651"/>
      <c r="CA42" s="1651"/>
      <c r="CB42" s="1651"/>
      <c r="CC42" s="1651"/>
      <c r="CD42" s="1223"/>
      <c r="CE42" s="1223"/>
      <c r="CF42" s="1223"/>
      <c r="CG42" s="1223"/>
      <c r="CH42" s="1223"/>
      <c r="CI42" s="1223"/>
      <c r="CJ42" s="1223"/>
      <c r="CK42" s="1223"/>
      <c r="CL42" s="1223"/>
      <c r="CM42" s="1223"/>
      <c r="CN42" s="1223"/>
      <c r="CO42" s="1222"/>
      <c r="CP42" s="1222"/>
    </row>
    <row r="43" spans="2:94" ht="18" hidden="1" x14ac:dyDescent="0.25">
      <c r="B43" s="127"/>
      <c r="H43" s="1221"/>
      <c r="I43" s="1221"/>
      <c r="J43" s="1221"/>
      <c r="Q43" s="1227"/>
      <c r="R43" s="1227"/>
      <c r="S43" s="1227"/>
      <c r="T43" s="1227"/>
      <c r="U43" s="1227"/>
      <c r="V43" s="1227"/>
      <c r="W43" s="1223"/>
      <c r="X43" s="1223"/>
      <c r="Y43" s="1223"/>
      <c r="Z43" s="1228"/>
      <c r="AA43" s="1230"/>
      <c r="AB43" s="1230"/>
      <c r="AC43" s="1230"/>
      <c r="AD43" s="1230"/>
      <c r="AE43" s="1230"/>
      <c r="AF43" s="1230"/>
      <c r="AG43" s="1230"/>
      <c r="AH43" s="1230"/>
      <c r="AI43" s="1230"/>
      <c r="AJ43" s="1230"/>
      <c r="AK43" s="1230"/>
      <c r="AL43" s="1652">
        <f ca="1">FRCP_y6</f>
        <v>2016</v>
      </c>
      <c r="AM43" s="1652"/>
      <c r="AN43" s="1652"/>
      <c r="AO43" s="1652"/>
      <c r="AP43" s="1652"/>
      <c r="AQ43" s="1652"/>
      <c r="AR43" s="1652"/>
      <c r="AS43" s="1652"/>
      <c r="AT43" s="1231"/>
      <c r="AU43" s="1652">
        <f ca="1">FRCP_y7</f>
        <v>2017</v>
      </c>
      <c r="AV43" s="1652"/>
      <c r="AW43" s="1652"/>
      <c r="AX43" s="1652"/>
      <c r="AY43" s="1652"/>
      <c r="AZ43" s="1652"/>
      <c r="BA43" s="1652"/>
      <c r="BB43" s="1652"/>
      <c r="BC43" s="1231"/>
      <c r="BD43" s="1652">
        <f ca="1">FRCP_y8</f>
        <v>2018</v>
      </c>
      <c r="BE43" s="1652"/>
      <c r="BF43" s="1652"/>
      <c r="BG43" s="1652"/>
      <c r="BH43" s="1652"/>
      <c r="BI43" s="1652"/>
      <c r="BJ43" s="1652"/>
      <c r="BK43" s="1652"/>
      <c r="BL43" s="1232"/>
      <c r="BM43" s="1652">
        <f ca="1">FRCP_y9</f>
        <v>2019</v>
      </c>
      <c r="BN43" s="1652"/>
      <c r="BO43" s="1652"/>
      <c r="BP43" s="1652"/>
      <c r="BQ43" s="1652"/>
      <c r="BR43" s="1652"/>
      <c r="BS43" s="1652"/>
      <c r="BT43" s="1652"/>
      <c r="BU43" s="1232"/>
      <c r="BV43" s="1652">
        <f ca="1">FRCP_y10</f>
        <v>2020</v>
      </c>
      <c r="BW43" s="1652"/>
      <c r="BX43" s="1652"/>
      <c r="BY43" s="1652"/>
      <c r="BZ43" s="1652"/>
      <c r="CA43" s="1652"/>
      <c r="CB43" s="1652"/>
      <c r="CC43" s="1652"/>
      <c r="CD43" s="1223"/>
      <c r="CE43" s="1223"/>
      <c r="CF43" s="1223"/>
      <c r="CG43" s="1223"/>
      <c r="CH43" s="1223"/>
      <c r="CI43" s="1223"/>
      <c r="CJ43" s="1223"/>
      <c r="CK43" s="1223"/>
      <c r="CL43" s="1223"/>
      <c r="CM43" s="1223"/>
      <c r="CN43" s="1223"/>
      <c r="CO43" s="1222"/>
      <c r="CP43" s="1222"/>
    </row>
    <row r="44" spans="2:94" ht="15" hidden="1" customHeight="1" x14ac:dyDescent="0.25">
      <c r="H44" s="1221"/>
      <c r="I44" s="1221"/>
      <c r="J44" s="1221"/>
      <c r="Q44" s="1227"/>
      <c r="R44" s="1227"/>
      <c r="S44" s="1227"/>
      <c r="T44" s="1227"/>
      <c r="U44" s="1227"/>
      <c r="V44" s="1227"/>
      <c r="W44" s="1223"/>
      <c r="X44" s="1223"/>
      <c r="Y44" s="1223"/>
      <c r="Z44" s="1228"/>
      <c r="AA44" s="1228"/>
      <c r="AB44" s="1228"/>
      <c r="AC44" s="1228"/>
      <c r="AD44" s="1228"/>
      <c r="AE44" s="1228"/>
      <c r="AF44" s="1228"/>
      <c r="AG44" s="1228"/>
      <c r="AH44" s="1228"/>
      <c r="AI44" s="1228"/>
      <c r="AJ44" s="1228"/>
      <c r="AK44" s="1228"/>
      <c r="AL44" s="1652">
        <f ca="1">FRCP_y11</f>
        <v>2021</v>
      </c>
      <c r="AM44" s="1652"/>
      <c r="AN44" s="1652"/>
      <c r="AO44" s="1652"/>
      <c r="AP44" s="1652"/>
      <c r="AQ44" s="1652"/>
      <c r="AR44" s="1652"/>
      <c r="AS44" s="1652"/>
      <c r="AT44" s="1233"/>
      <c r="AU44" s="1652">
        <f ca="1">FRCP_y12</f>
        <v>2022</v>
      </c>
      <c r="AV44" s="1652"/>
      <c r="AW44" s="1652"/>
      <c r="AX44" s="1652"/>
      <c r="AY44" s="1652"/>
      <c r="AZ44" s="1652"/>
      <c r="BA44" s="1652"/>
      <c r="BB44" s="1652"/>
      <c r="BC44" s="1233"/>
      <c r="BD44" s="1652">
        <f ca="1">FRCP_y13</f>
        <v>2023</v>
      </c>
      <c r="BE44" s="1652"/>
      <c r="BF44" s="1652"/>
      <c r="BG44" s="1652"/>
      <c r="BH44" s="1652"/>
      <c r="BI44" s="1652"/>
      <c r="BJ44" s="1652"/>
      <c r="BK44" s="1652"/>
      <c r="BL44" s="1233"/>
      <c r="BM44" s="1652">
        <f ca="1">FRCP_y14</f>
        <v>2024</v>
      </c>
      <c r="BN44" s="1652"/>
      <c r="BO44" s="1652"/>
      <c r="BP44" s="1652"/>
      <c r="BQ44" s="1652"/>
      <c r="BR44" s="1652"/>
      <c r="BS44" s="1652"/>
      <c r="BT44" s="1652"/>
      <c r="BU44" s="1233"/>
      <c r="BV44" s="1652">
        <f ca="1">FRCP_y15</f>
        <v>2025</v>
      </c>
      <c r="BW44" s="1652"/>
      <c r="BX44" s="1652"/>
      <c r="BY44" s="1652"/>
      <c r="BZ44" s="1652"/>
      <c r="CA44" s="1652"/>
      <c r="CB44" s="1652"/>
      <c r="CC44" s="1652"/>
      <c r="CD44" s="1223"/>
      <c r="CE44" s="1223"/>
      <c r="CF44" s="1223"/>
      <c r="CG44" s="1223"/>
      <c r="CH44" s="1223"/>
      <c r="CI44" s="1223"/>
      <c r="CJ44" s="1223"/>
      <c r="CK44" s="1223"/>
      <c r="CL44" s="1223"/>
      <c r="CM44" s="1223"/>
      <c r="CN44" s="1223"/>
      <c r="CO44" s="1222"/>
      <c r="CP44" s="1227"/>
    </row>
    <row r="45" spans="2:94" ht="15" hidden="1" customHeight="1" x14ac:dyDescent="0.25">
      <c r="B45" s="710"/>
      <c r="H45" s="1221"/>
      <c r="I45" s="1221"/>
      <c r="J45" s="1221"/>
      <c r="Q45" s="1227"/>
      <c r="R45" s="1227"/>
      <c r="S45" s="1227"/>
      <c r="T45" s="1227"/>
      <c r="U45" s="1227"/>
      <c r="V45" s="1227"/>
      <c r="W45" s="1223"/>
      <c r="X45" s="1223"/>
      <c r="Y45" s="1223"/>
      <c r="Z45" s="1228"/>
      <c r="AA45" s="1228"/>
      <c r="AB45" s="1228"/>
      <c r="AC45" s="1228"/>
      <c r="AD45" s="1228"/>
      <c r="AE45" s="1228"/>
      <c r="AF45" s="1228"/>
      <c r="AG45" s="1228"/>
      <c r="AH45" s="1228"/>
      <c r="AI45" s="1228"/>
      <c r="AJ45" s="1228"/>
      <c r="AK45" s="1228"/>
      <c r="AL45" s="1234"/>
      <c r="AM45" s="1235"/>
      <c r="AN45" s="1235"/>
      <c r="AO45" s="1233"/>
      <c r="AP45" s="1233"/>
      <c r="AQ45" s="1233"/>
      <c r="AR45" s="1233"/>
      <c r="AS45" s="1233"/>
      <c r="AT45" s="1233"/>
      <c r="AU45" s="1234"/>
      <c r="AV45" s="1233"/>
      <c r="AW45" s="1233"/>
      <c r="AX45" s="1233"/>
      <c r="AY45" s="1233"/>
      <c r="AZ45" s="1233"/>
      <c r="BA45" s="1233"/>
      <c r="BB45" s="1233"/>
      <c r="BC45" s="1233"/>
      <c r="BD45" s="1234"/>
      <c r="BE45" s="1233"/>
      <c r="BF45" s="1233"/>
      <c r="BG45" s="1233"/>
      <c r="BH45" s="1233"/>
      <c r="BI45" s="1233"/>
      <c r="BJ45" s="1233"/>
      <c r="BK45" s="1233"/>
      <c r="BL45" s="1233"/>
      <c r="BM45" s="1234"/>
      <c r="BN45" s="1233"/>
      <c r="BO45" s="1233"/>
      <c r="BP45" s="1233"/>
      <c r="BQ45" s="1233"/>
      <c r="BR45" s="1233"/>
      <c r="BS45" s="1233"/>
      <c r="BT45" s="1233"/>
      <c r="BU45" s="1233"/>
      <c r="BV45" s="1234"/>
      <c r="BW45" s="1233"/>
      <c r="BX45" s="1233"/>
      <c r="BY45" s="1233"/>
      <c r="BZ45" s="1233"/>
      <c r="CA45" s="1233"/>
      <c r="CB45" s="1233"/>
      <c r="CC45" s="1233"/>
      <c r="CD45" s="1223"/>
      <c r="CE45" s="1223"/>
      <c r="CF45" s="1223"/>
      <c r="CG45" s="1223"/>
      <c r="CH45" s="1223"/>
      <c r="CI45" s="1223"/>
      <c r="CJ45" s="1223"/>
      <c r="CK45" s="1223"/>
      <c r="CL45" s="1223"/>
      <c r="CM45" s="1223"/>
      <c r="CN45" s="1223"/>
      <c r="CO45" s="1222"/>
      <c r="CP45" s="1227"/>
    </row>
    <row r="46" spans="2:94" ht="15.75" hidden="1" customHeight="1" x14ac:dyDescent="0.25">
      <c r="B46" s="710"/>
      <c r="H46" s="1221"/>
      <c r="I46" s="1221"/>
      <c r="J46" s="1221"/>
      <c r="Q46" s="1227"/>
      <c r="R46" s="1227"/>
      <c r="S46" s="1227"/>
      <c r="T46" s="1227"/>
      <c r="U46" s="1227"/>
      <c r="V46" s="1227"/>
      <c r="W46" s="1223"/>
      <c r="X46" s="1227" t="s">
        <v>1171</v>
      </c>
      <c r="Y46" s="1223"/>
      <c r="Z46" s="1649" t="s">
        <v>1172</v>
      </c>
      <c r="AA46" s="1649"/>
      <c r="AB46" s="1649"/>
      <c r="AC46" s="1649"/>
      <c r="AD46" s="1649"/>
      <c r="AE46" s="1649"/>
      <c r="AF46" s="1649"/>
      <c r="AG46" s="1649"/>
      <c r="AH46" s="1649"/>
      <c r="AI46" s="1649"/>
      <c r="AJ46" s="1228"/>
      <c r="AK46" s="1228"/>
      <c r="AL46" s="1651" t="str">
        <f ca="1">CRCP_y1</f>
        <v>2006</v>
      </c>
      <c r="AM46" s="1651"/>
      <c r="AN46" s="1651"/>
      <c r="AO46" s="1651"/>
      <c r="AP46" s="1651"/>
      <c r="AQ46" s="1651"/>
      <c r="AR46" s="1651"/>
      <c r="AS46" s="1651"/>
      <c r="AT46" s="1229"/>
      <c r="AU46" s="1651" t="str">
        <f ca="1">CRCP_y2</f>
        <v>2007</v>
      </c>
      <c r="AV46" s="1651"/>
      <c r="AW46" s="1651"/>
      <c r="AX46" s="1651"/>
      <c r="AY46" s="1651"/>
      <c r="AZ46" s="1651"/>
      <c r="BA46" s="1651"/>
      <c r="BB46" s="1651"/>
      <c r="BC46" s="1229"/>
      <c r="BD46" s="1651" t="str">
        <f ca="1">CRCP_y3</f>
        <v>2008</v>
      </c>
      <c r="BE46" s="1651"/>
      <c r="BF46" s="1651"/>
      <c r="BG46" s="1651"/>
      <c r="BH46" s="1651"/>
      <c r="BI46" s="1651"/>
      <c r="BJ46" s="1651"/>
      <c r="BK46" s="1651"/>
      <c r="BL46" s="1229"/>
      <c r="BM46" s="1651" t="str">
        <f ca="1">CRCP_y4</f>
        <v>2009</v>
      </c>
      <c r="BN46" s="1651"/>
      <c r="BO46" s="1651"/>
      <c r="BP46" s="1651"/>
      <c r="BQ46" s="1651"/>
      <c r="BR46" s="1651"/>
      <c r="BS46" s="1651"/>
      <c r="BT46" s="1651"/>
      <c r="BU46" s="1229"/>
      <c r="BV46" s="1651">
        <f ca="1">CRCP_y5</f>
        <v>2010</v>
      </c>
      <c r="BW46" s="1651"/>
      <c r="BX46" s="1651"/>
      <c r="BY46" s="1651"/>
      <c r="BZ46" s="1651"/>
      <c r="CA46" s="1651"/>
      <c r="CB46" s="1651"/>
      <c r="CC46" s="1651"/>
      <c r="CD46" s="1223"/>
      <c r="CE46" s="1223"/>
      <c r="CF46" s="1223"/>
      <c r="CG46" s="1223"/>
      <c r="CH46" s="1223"/>
      <c r="CI46" s="1223"/>
      <c r="CJ46" s="1223"/>
      <c r="CK46" s="1223"/>
      <c r="CL46" s="1223"/>
      <c r="CM46" s="1223"/>
      <c r="CN46" s="1223"/>
      <c r="CO46" s="1222"/>
      <c r="CP46" s="1227"/>
    </row>
    <row r="47" spans="2:94" ht="15" hidden="1" customHeight="1" x14ac:dyDescent="0.25">
      <c r="H47" s="1221"/>
      <c r="I47" s="1221"/>
      <c r="J47" s="1221"/>
      <c r="Q47" s="1227"/>
      <c r="R47" s="1227"/>
      <c r="S47" s="1227"/>
      <c r="T47" s="1227"/>
      <c r="U47" s="1227"/>
      <c r="V47" s="1227"/>
      <c r="W47" s="1223"/>
      <c r="X47" s="1223"/>
      <c r="Y47" s="1223"/>
      <c r="Z47" s="1228"/>
      <c r="AA47" s="1228"/>
      <c r="AB47" s="1228"/>
      <c r="AC47" s="1228"/>
      <c r="AD47" s="1228"/>
      <c r="AE47" s="1228"/>
      <c r="AF47" s="1228"/>
      <c r="AG47" s="1228"/>
      <c r="AH47" s="1228"/>
      <c r="AI47" s="1228"/>
      <c r="AJ47" s="1228"/>
      <c r="AK47" s="1228"/>
      <c r="AL47" s="1652">
        <f ca="1">CRCP_y6</f>
        <v>2011</v>
      </c>
      <c r="AM47" s="1652"/>
      <c r="AN47" s="1652"/>
      <c r="AO47" s="1652"/>
      <c r="AP47" s="1652"/>
      <c r="AQ47" s="1652"/>
      <c r="AR47" s="1652"/>
      <c r="AS47" s="1652"/>
      <c r="AT47" s="1236"/>
      <c r="AU47" s="1652">
        <f ca="1">CRCP_y7</f>
        <v>2012</v>
      </c>
      <c r="AV47" s="1652"/>
      <c r="AW47" s="1652"/>
      <c r="AX47" s="1652"/>
      <c r="AY47" s="1652"/>
      <c r="AZ47" s="1652"/>
      <c r="BA47" s="1652"/>
      <c r="BB47" s="1652"/>
      <c r="BC47" s="1237"/>
      <c r="BD47" s="1652">
        <f ca="1">CRCP_y8</f>
        <v>2013</v>
      </c>
      <c r="BE47" s="1652"/>
      <c r="BF47" s="1652"/>
      <c r="BG47" s="1652"/>
      <c r="BH47" s="1652"/>
      <c r="BI47" s="1652"/>
      <c r="BJ47" s="1652"/>
      <c r="BK47" s="1652"/>
      <c r="BL47" s="1237"/>
      <c r="BM47" s="1652">
        <f ca="1">CRCP_y9</f>
        <v>2014</v>
      </c>
      <c r="BN47" s="1652"/>
      <c r="BO47" s="1652"/>
      <c r="BP47" s="1652"/>
      <c r="BQ47" s="1652"/>
      <c r="BR47" s="1652"/>
      <c r="BS47" s="1652"/>
      <c r="BT47" s="1652"/>
      <c r="BU47" s="1237"/>
      <c r="BV47" s="1652">
        <f ca="1">CRCP_y10</f>
        <v>2015</v>
      </c>
      <c r="BW47" s="1652"/>
      <c r="BX47" s="1652"/>
      <c r="BY47" s="1652"/>
      <c r="BZ47" s="1652"/>
      <c r="CA47" s="1652"/>
      <c r="CB47" s="1652"/>
      <c r="CC47" s="1652"/>
      <c r="CD47" s="1223"/>
      <c r="CE47" s="1223"/>
      <c r="CF47" s="1223"/>
      <c r="CG47" s="1223"/>
      <c r="CH47" s="1223"/>
      <c r="CI47" s="1223"/>
      <c r="CJ47" s="1223"/>
      <c r="CK47" s="1223"/>
      <c r="CL47" s="1223"/>
      <c r="CM47" s="1223"/>
      <c r="CN47" s="1223"/>
      <c r="CO47" s="1222"/>
      <c r="CP47" s="1227"/>
    </row>
    <row r="48" spans="2:94" ht="15" hidden="1" customHeight="1" x14ac:dyDescent="0.25">
      <c r="H48" s="1221"/>
      <c r="I48" s="1221"/>
      <c r="J48" s="1221"/>
      <c r="Q48" s="1227"/>
      <c r="R48" s="1227"/>
      <c r="S48" s="1227"/>
      <c r="T48" s="1227"/>
      <c r="U48" s="1227"/>
      <c r="V48" s="1227"/>
      <c r="W48" s="1223"/>
      <c r="X48" s="1223"/>
      <c r="Y48" s="1223"/>
      <c r="Z48" s="1228"/>
      <c r="AA48" s="1228"/>
      <c r="AB48" s="1228"/>
      <c r="AC48" s="1228"/>
      <c r="AD48" s="1228"/>
      <c r="AE48" s="1228"/>
      <c r="AF48" s="1228"/>
      <c r="AG48" s="1228"/>
      <c r="AH48" s="1228"/>
      <c r="AI48" s="1228"/>
      <c r="AJ48" s="1228"/>
      <c r="AK48" s="1228"/>
      <c r="AL48" s="1652">
        <f ca="1">CRCP_y11</f>
        <v>2016</v>
      </c>
      <c r="AM48" s="1652"/>
      <c r="AN48" s="1652"/>
      <c r="AO48" s="1652"/>
      <c r="AP48" s="1652"/>
      <c r="AQ48" s="1652"/>
      <c r="AR48" s="1652"/>
      <c r="AS48" s="1652"/>
      <c r="AT48" s="1236"/>
      <c r="AU48" s="1652">
        <f ca="1">CRCP_y12</f>
        <v>2017</v>
      </c>
      <c r="AV48" s="1652"/>
      <c r="AW48" s="1652"/>
      <c r="AX48" s="1652"/>
      <c r="AY48" s="1652"/>
      <c r="AZ48" s="1652"/>
      <c r="BA48" s="1652"/>
      <c r="BB48" s="1652"/>
      <c r="BC48" s="1237"/>
      <c r="BD48" s="1652">
        <f ca="1">CRCP_y13</f>
        <v>2018</v>
      </c>
      <c r="BE48" s="1652"/>
      <c r="BF48" s="1652"/>
      <c r="BG48" s="1652"/>
      <c r="BH48" s="1652"/>
      <c r="BI48" s="1652"/>
      <c r="BJ48" s="1652"/>
      <c r="BK48" s="1652"/>
      <c r="BL48" s="1237"/>
      <c r="BM48" s="1652">
        <f ca="1">CRCP_y14</f>
        <v>2019</v>
      </c>
      <c r="BN48" s="1652"/>
      <c r="BO48" s="1652"/>
      <c r="BP48" s="1652"/>
      <c r="BQ48" s="1652"/>
      <c r="BR48" s="1652"/>
      <c r="BS48" s="1652"/>
      <c r="BT48" s="1652"/>
      <c r="BU48" s="1237"/>
      <c r="BV48" s="1652">
        <f ca="1">CRCP_y15</f>
        <v>2020</v>
      </c>
      <c r="BW48" s="1652"/>
      <c r="BX48" s="1652"/>
      <c r="BY48" s="1652"/>
      <c r="BZ48" s="1652"/>
      <c r="CA48" s="1652"/>
      <c r="CB48" s="1652"/>
      <c r="CC48" s="1652"/>
      <c r="CD48" s="1223"/>
      <c r="CE48" s="1223"/>
      <c r="CF48" s="1223"/>
      <c r="CG48" s="1223"/>
      <c r="CH48" s="1223"/>
      <c r="CI48" s="1223"/>
      <c r="CJ48" s="1223"/>
      <c r="CK48" s="1223"/>
      <c r="CL48" s="1223"/>
      <c r="CM48" s="1223"/>
      <c r="CN48" s="1223"/>
      <c r="CO48" s="1222"/>
      <c r="CP48" s="1227"/>
    </row>
    <row r="49" spans="5:94" ht="15" hidden="1" customHeight="1" x14ac:dyDescent="0.25">
      <c r="H49" s="1221"/>
      <c r="I49" s="1221"/>
      <c r="J49" s="1221"/>
      <c r="Q49" s="1227"/>
      <c r="R49" s="1227"/>
      <c r="S49" s="1227"/>
      <c r="T49" s="1227"/>
      <c r="U49" s="1227"/>
      <c r="V49" s="1227"/>
      <c r="W49" s="1223"/>
      <c r="X49" s="1223"/>
      <c r="Y49" s="1223"/>
      <c r="Z49" s="1228"/>
      <c r="AA49" s="1228"/>
      <c r="AB49" s="1228"/>
      <c r="AC49" s="1228"/>
      <c r="AD49" s="1228"/>
      <c r="AE49" s="1228"/>
      <c r="AF49" s="1228"/>
      <c r="AG49" s="1228"/>
      <c r="AH49" s="1228"/>
      <c r="AI49" s="1228"/>
      <c r="AJ49" s="1228"/>
      <c r="AK49" s="1228"/>
      <c r="AL49" s="1238"/>
      <c r="AM49" s="1238"/>
      <c r="AN49" s="1238"/>
      <c r="AO49" s="1232"/>
      <c r="AP49" s="1232"/>
      <c r="AQ49" s="1232"/>
      <c r="AR49" s="1232"/>
      <c r="AS49" s="1232"/>
      <c r="AT49" s="1232"/>
      <c r="AU49" s="1238"/>
      <c r="AV49" s="1232"/>
      <c r="AW49" s="1232"/>
      <c r="AX49" s="1232"/>
      <c r="AY49" s="1232"/>
      <c r="AZ49" s="1232"/>
      <c r="BA49" s="1232"/>
      <c r="BB49" s="1232"/>
      <c r="BC49" s="1232"/>
      <c r="BD49" s="1238"/>
      <c r="BE49" s="1232"/>
      <c r="BF49" s="1232"/>
      <c r="BG49" s="1232"/>
      <c r="BH49" s="1232"/>
      <c r="BI49" s="1232"/>
      <c r="BJ49" s="1232"/>
      <c r="BK49" s="1232"/>
      <c r="BL49" s="1232"/>
      <c r="BM49" s="1238"/>
      <c r="BN49" s="1232"/>
      <c r="BO49" s="1232"/>
      <c r="BP49" s="1232"/>
      <c r="BQ49" s="1232"/>
      <c r="BR49" s="1232"/>
      <c r="BS49" s="1232"/>
      <c r="BT49" s="1232"/>
      <c r="BU49" s="1232"/>
      <c r="BV49" s="1238"/>
      <c r="BW49" s="1232"/>
      <c r="BX49" s="1232"/>
      <c r="BY49" s="1232"/>
      <c r="BZ49" s="1232"/>
      <c r="CA49" s="1232"/>
      <c r="CB49" s="1232"/>
      <c r="CC49" s="1239"/>
      <c r="CD49" s="1223"/>
      <c r="CE49" s="1223"/>
      <c r="CF49" s="1223"/>
      <c r="CG49" s="1223"/>
      <c r="CH49" s="1223"/>
      <c r="CI49" s="1223"/>
      <c r="CJ49" s="1223"/>
      <c r="CK49" s="1223"/>
      <c r="CL49" s="1223"/>
      <c r="CM49" s="1223"/>
      <c r="CN49" s="1223"/>
      <c r="CO49" s="1222"/>
      <c r="CP49" s="1227"/>
    </row>
    <row r="50" spans="5:94" ht="15.75" hidden="1" customHeight="1" x14ac:dyDescent="0.25">
      <c r="H50" s="1221"/>
      <c r="I50" s="1221"/>
      <c r="J50" s="1221"/>
      <c r="Q50" s="1227"/>
      <c r="R50" s="1227"/>
      <c r="S50" s="1227"/>
      <c r="T50" s="1227"/>
      <c r="U50" s="1227"/>
      <c r="V50" s="1227"/>
      <c r="W50" s="1223"/>
      <c r="X50" s="1223"/>
      <c r="Y50" s="1223"/>
      <c r="Z50" s="1649" t="s">
        <v>1173</v>
      </c>
      <c r="AA50" s="1649"/>
      <c r="AB50" s="1649"/>
      <c r="AC50" s="1649"/>
      <c r="AD50" s="1649"/>
      <c r="AE50" s="1649"/>
      <c r="AF50" s="1649"/>
      <c r="AG50" s="1649"/>
      <c r="AH50" s="1649"/>
      <c r="AI50" s="1649"/>
      <c r="AJ50" s="1228"/>
      <c r="AK50" s="1228"/>
      <c r="AL50" s="1651" t="str">
        <f ca="1">PRCP_y1</f>
        <v>2001</v>
      </c>
      <c r="AM50" s="1651"/>
      <c r="AN50" s="1651"/>
      <c r="AO50" s="1651"/>
      <c r="AP50" s="1651"/>
      <c r="AQ50" s="1651"/>
      <c r="AR50" s="1651"/>
      <c r="AS50" s="1651"/>
      <c r="AT50" s="1229"/>
      <c r="AU50" s="1651" t="str">
        <f ca="1">PRCP_y2</f>
        <v>2002</v>
      </c>
      <c r="AV50" s="1651"/>
      <c r="AW50" s="1651"/>
      <c r="AX50" s="1651"/>
      <c r="AY50" s="1651"/>
      <c r="AZ50" s="1651"/>
      <c r="BA50" s="1651"/>
      <c r="BB50" s="1651"/>
      <c r="BC50" s="1229"/>
      <c r="BD50" s="1651" t="str">
        <f ca="1">PRCP_y3</f>
        <v>2003</v>
      </c>
      <c r="BE50" s="1651"/>
      <c r="BF50" s="1651"/>
      <c r="BG50" s="1651"/>
      <c r="BH50" s="1651"/>
      <c r="BI50" s="1651"/>
      <c r="BJ50" s="1651"/>
      <c r="BK50" s="1651"/>
      <c r="BL50" s="1229"/>
      <c r="BM50" s="1651" t="str">
        <f ca="1">PRCP_y4</f>
        <v>2004</v>
      </c>
      <c r="BN50" s="1651"/>
      <c r="BO50" s="1651"/>
      <c r="BP50" s="1651"/>
      <c r="BQ50" s="1651"/>
      <c r="BR50" s="1651"/>
      <c r="BS50" s="1651"/>
      <c r="BT50" s="1651"/>
      <c r="BU50" s="1229"/>
      <c r="BV50" s="1651" t="str">
        <f ca="1">PRCP_y5</f>
        <v>2005</v>
      </c>
      <c r="BW50" s="1651"/>
      <c r="BX50" s="1651"/>
      <c r="BY50" s="1651"/>
      <c r="BZ50" s="1651"/>
      <c r="CA50" s="1651"/>
      <c r="CB50" s="1651"/>
      <c r="CC50" s="1651"/>
      <c r="CD50" s="1223"/>
      <c r="CE50" s="1223"/>
      <c r="CF50" s="1223"/>
      <c r="CG50" s="1223"/>
      <c r="CH50" s="1223"/>
      <c r="CI50" s="1223"/>
      <c r="CJ50" s="1223"/>
      <c r="CK50" s="1223"/>
      <c r="CL50" s="1223"/>
      <c r="CM50" s="1223"/>
      <c r="CN50" s="1223"/>
      <c r="CO50" s="1222"/>
      <c r="CP50" s="1227"/>
    </row>
    <row r="51" spans="5:94" ht="15.75" hidden="1" x14ac:dyDescent="0.25">
      <c r="H51" s="1221"/>
      <c r="I51" s="1221"/>
      <c r="J51" s="1221"/>
      <c r="Q51" s="1222"/>
      <c r="R51" s="1222"/>
      <c r="S51" s="1222"/>
      <c r="T51" s="1222"/>
      <c r="U51" s="1223"/>
      <c r="V51" s="1223"/>
      <c r="W51" s="1223"/>
      <c r="X51" s="1223"/>
      <c r="Y51" s="1223"/>
      <c r="Z51" s="1228"/>
      <c r="AA51" s="1228"/>
      <c r="AB51" s="1228"/>
      <c r="AC51" s="1228"/>
      <c r="AD51" s="1228"/>
      <c r="AE51" s="1228"/>
      <c r="AF51" s="1228"/>
      <c r="AG51" s="1228"/>
      <c r="AH51" s="1228"/>
      <c r="AI51" s="1228"/>
      <c r="AJ51" s="1228"/>
      <c r="AK51" s="1228"/>
      <c r="AL51" s="1652" t="str">
        <f ca="1">PRCP_y6</f>
        <v>2006</v>
      </c>
      <c r="AM51" s="1652"/>
      <c r="AN51" s="1652"/>
      <c r="AO51" s="1652"/>
      <c r="AP51" s="1652"/>
      <c r="AQ51" s="1652"/>
      <c r="AR51" s="1652"/>
      <c r="AS51" s="1652"/>
      <c r="AT51" s="1236"/>
      <c r="AU51" s="1652" t="str">
        <f ca="1">PRCP_y7</f>
        <v>2007</v>
      </c>
      <c r="AV51" s="1652"/>
      <c r="AW51" s="1652"/>
      <c r="AX51" s="1652"/>
      <c r="AY51" s="1652"/>
      <c r="AZ51" s="1652"/>
      <c r="BA51" s="1652"/>
      <c r="BB51" s="1652"/>
      <c r="BC51" s="1237"/>
      <c r="BD51" s="1652" t="str">
        <f ca="1">PRCP_y8</f>
        <v>2008</v>
      </c>
      <c r="BE51" s="1652"/>
      <c r="BF51" s="1652"/>
      <c r="BG51" s="1652"/>
      <c r="BH51" s="1652"/>
      <c r="BI51" s="1652"/>
      <c r="BJ51" s="1652"/>
      <c r="BK51" s="1652"/>
      <c r="BL51" s="1237"/>
      <c r="BM51" s="1652" t="str">
        <f ca="1">PRCP_y9</f>
        <v>2009</v>
      </c>
      <c r="BN51" s="1652"/>
      <c r="BO51" s="1652"/>
      <c r="BP51" s="1652"/>
      <c r="BQ51" s="1652"/>
      <c r="BR51" s="1652"/>
      <c r="BS51" s="1652"/>
      <c r="BT51" s="1652"/>
      <c r="BU51" s="1237"/>
      <c r="BV51" s="1652">
        <f ca="1">PRCP_y10</f>
        <v>2010</v>
      </c>
      <c r="BW51" s="1652"/>
      <c r="BX51" s="1652"/>
      <c r="BY51" s="1652"/>
      <c r="BZ51" s="1652"/>
      <c r="CA51" s="1652"/>
      <c r="CB51" s="1652"/>
      <c r="CC51" s="1652"/>
      <c r="CD51" s="1223"/>
      <c r="CE51" s="1223"/>
      <c r="CF51" s="1223"/>
      <c r="CG51" s="1223"/>
      <c r="CH51" s="1223"/>
      <c r="CI51" s="1223"/>
      <c r="CJ51" s="1223"/>
      <c r="CK51" s="1223"/>
      <c r="CL51" s="1223"/>
      <c r="CM51" s="1223"/>
      <c r="CN51" s="1223"/>
      <c r="CO51" s="1222"/>
      <c r="CP51" s="1222"/>
    </row>
    <row r="52" spans="5:94" ht="15.75" hidden="1" x14ac:dyDescent="0.25">
      <c r="H52" s="1221"/>
      <c r="I52" s="1221"/>
      <c r="J52" s="1221"/>
      <c r="Q52" s="1222"/>
      <c r="R52" s="1222"/>
      <c r="S52" s="1222"/>
      <c r="T52" s="1222"/>
      <c r="U52" s="1223"/>
      <c r="V52" s="1223"/>
      <c r="W52" s="1223"/>
      <c r="X52" s="1223"/>
      <c r="Y52" s="1223"/>
      <c r="Z52" s="1228"/>
      <c r="AA52" s="1228"/>
      <c r="AB52" s="1228"/>
      <c r="AC52" s="1228"/>
      <c r="AD52" s="1228"/>
      <c r="AE52" s="1228"/>
      <c r="AF52" s="1228"/>
      <c r="AG52" s="1228"/>
      <c r="AH52" s="1228"/>
      <c r="AI52" s="1228"/>
      <c r="AJ52" s="1228"/>
      <c r="AK52" s="1228"/>
      <c r="AL52" s="1652">
        <f ca="1">PRCP_y11</f>
        <v>2011</v>
      </c>
      <c r="AM52" s="1652"/>
      <c r="AN52" s="1652"/>
      <c r="AO52" s="1652"/>
      <c r="AP52" s="1652"/>
      <c r="AQ52" s="1652"/>
      <c r="AR52" s="1652"/>
      <c r="AS52" s="1652"/>
      <c r="AT52" s="1236"/>
      <c r="AU52" s="1652">
        <f ca="1">PRCP_y12</f>
        <v>2012</v>
      </c>
      <c r="AV52" s="1652"/>
      <c r="AW52" s="1652"/>
      <c r="AX52" s="1652"/>
      <c r="AY52" s="1652"/>
      <c r="AZ52" s="1652"/>
      <c r="BA52" s="1652"/>
      <c r="BB52" s="1652"/>
      <c r="BC52" s="1237"/>
      <c r="BD52" s="1652">
        <f ca="1">PRCP_y13</f>
        <v>2013</v>
      </c>
      <c r="BE52" s="1652"/>
      <c r="BF52" s="1652"/>
      <c r="BG52" s="1652"/>
      <c r="BH52" s="1652"/>
      <c r="BI52" s="1652"/>
      <c r="BJ52" s="1652"/>
      <c r="BK52" s="1652"/>
      <c r="BL52" s="1237"/>
      <c r="BM52" s="1652">
        <f ca="1">PRCP_y14</f>
        <v>2014</v>
      </c>
      <c r="BN52" s="1652"/>
      <c r="BO52" s="1652"/>
      <c r="BP52" s="1652"/>
      <c r="BQ52" s="1652"/>
      <c r="BR52" s="1652"/>
      <c r="BS52" s="1652"/>
      <c r="BT52" s="1652"/>
      <c r="BU52" s="1237"/>
      <c r="BV52" s="1652">
        <f ca="1">PRCP_y15</f>
        <v>2015</v>
      </c>
      <c r="BW52" s="1652"/>
      <c r="BX52" s="1652"/>
      <c r="BY52" s="1652"/>
      <c r="BZ52" s="1652"/>
      <c r="CA52" s="1652"/>
      <c r="CB52" s="1652"/>
      <c r="CC52" s="1652"/>
      <c r="CD52" s="1223"/>
      <c r="CE52" s="1223"/>
      <c r="CF52" s="1223"/>
      <c r="CG52" s="1223"/>
      <c r="CH52" s="1223"/>
      <c r="CI52" s="1223"/>
      <c r="CJ52" s="1223"/>
      <c r="CK52" s="1223"/>
      <c r="CL52" s="1223"/>
      <c r="CM52" s="1223"/>
      <c r="CN52" s="1223"/>
      <c r="CO52" s="1222"/>
      <c r="CP52" s="1222"/>
    </row>
    <row r="53" spans="5:94" x14ac:dyDescent="0.25">
      <c r="E53" s="1240"/>
      <c r="H53" s="1221"/>
      <c r="I53" s="1221"/>
      <c r="J53" s="1221"/>
      <c r="Q53" s="1222"/>
      <c r="R53" s="1222"/>
      <c r="S53" s="1222"/>
      <c r="T53" s="1222"/>
      <c r="U53" s="1223"/>
      <c r="V53" s="1223"/>
      <c r="W53" s="1223"/>
      <c r="X53" s="1223"/>
      <c r="Y53" s="1223"/>
      <c r="Z53" s="1228"/>
      <c r="AA53" s="1228"/>
      <c r="AB53" s="1228"/>
      <c r="AC53" s="1228"/>
      <c r="AD53" s="1228"/>
      <c r="AE53" s="1228"/>
      <c r="AF53" s="1228"/>
      <c r="AG53" s="1228"/>
      <c r="AH53" s="1228"/>
      <c r="AI53" s="1228"/>
      <c r="AJ53" s="1228"/>
      <c r="AK53" s="1228"/>
      <c r="AL53" s="1228"/>
      <c r="AM53" s="1228"/>
      <c r="AN53" s="1228"/>
      <c r="AO53" s="1241"/>
      <c r="AP53" s="1241"/>
      <c r="AQ53" s="1241"/>
      <c r="AR53" s="1241"/>
      <c r="AS53" s="1223"/>
      <c r="AT53" s="1223"/>
      <c r="AU53" s="1223"/>
      <c r="AV53" s="1223"/>
      <c r="AW53" s="1223"/>
      <c r="AX53" s="1223"/>
      <c r="AY53" s="1223"/>
      <c r="AZ53" s="1223"/>
      <c r="BA53" s="1223"/>
      <c r="BB53" s="1223"/>
      <c r="BC53" s="1223"/>
      <c r="BD53" s="1223"/>
      <c r="BE53" s="1223"/>
      <c r="BF53" s="1223"/>
      <c r="BG53" s="1223"/>
      <c r="BH53" s="1223"/>
      <c r="BI53" s="1223"/>
      <c r="BJ53" s="1223"/>
      <c r="BK53" s="1223"/>
      <c r="BL53" s="1223"/>
      <c r="BM53" s="1223"/>
      <c r="BN53" s="1223"/>
      <c r="BO53" s="1223"/>
      <c r="BP53" s="1223"/>
      <c r="BQ53" s="1223"/>
      <c r="BR53" s="1223"/>
      <c r="BS53" s="1223"/>
      <c r="BT53" s="1223"/>
      <c r="BU53" s="1223"/>
      <c r="BV53" s="1223"/>
      <c r="BW53" s="1223"/>
      <c r="BX53" s="1223"/>
      <c r="BY53" s="1223"/>
      <c r="BZ53" s="1223"/>
      <c r="CA53" s="1223"/>
      <c r="CB53" s="1223"/>
      <c r="CC53" s="1223"/>
      <c r="CD53" s="1223"/>
      <c r="CE53" s="1223"/>
      <c r="CF53" s="1223"/>
      <c r="CG53" s="1223"/>
      <c r="CH53" s="1223"/>
      <c r="CI53" s="1223"/>
      <c r="CJ53" s="1223"/>
      <c r="CK53" s="1223"/>
      <c r="CL53" s="1223"/>
      <c r="CM53" s="1223"/>
      <c r="CN53" s="1223"/>
      <c r="CO53" s="1222"/>
      <c r="CP53" s="1222"/>
    </row>
    <row r="54" spans="5:94" ht="15.75" customHeight="1" x14ac:dyDescent="0.25">
      <c r="H54" s="1221"/>
      <c r="I54" s="1221"/>
      <c r="J54" s="1221"/>
      <c r="Q54" s="1227"/>
      <c r="R54" s="1227"/>
      <c r="S54" s="1227"/>
      <c r="T54" s="1227"/>
      <c r="U54" s="1227"/>
      <c r="V54" s="1227"/>
      <c r="W54" s="1242"/>
      <c r="X54" s="1227"/>
      <c r="Y54" s="1222"/>
      <c r="Z54" s="1649" t="s">
        <v>1174</v>
      </c>
      <c r="AA54" s="1649"/>
      <c r="AB54" s="1649"/>
      <c r="AC54" s="1649"/>
      <c r="AD54" s="1649"/>
      <c r="AE54" s="1649"/>
      <c r="AF54" s="1649"/>
      <c r="AG54" s="1649"/>
      <c r="AH54" s="1649"/>
      <c r="AI54" s="1649"/>
      <c r="AJ54" s="1228"/>
      <c r="AK54" s="1228"/>
      <c r="AL54" s="1650">
        <v>2011</v>
      </c>
      <c r="AM54" s="1650"/>
      <c r="AN54" s="1650"/>
      <c r="AO54" s="1650"/>
      <c r="AP54" s="1650"/>
      <c r="AQ54" s="1650"/>
      <c r="AR54" s="1650"/>
      <c r="AS54" s="1650"/>
      <c r="AT54" s="1223"/>
      <c r="AU54" s="1223"/>
      <c r="AV54" s="1223"/>
      <c r="AW54" s="1223"/>
      <c r="AX54" s="1223"/>
      <c r="AY54" s="1223"/>
      <c r="AZ54" s="1223"/>
      <c r="BA54" s="1223"/>
      <c r="BB54" s="1223"/>
      <c r="BC54" s="1223"/>
      <c r="BD54" s="1223"/>
      <c r="BE54" s="1223"/>
      <c r="BF54" s="1223"/>
      <c r="BG54" s="1223"/>
      <c r="BH54" s="1223"/>
      <c r="BI54" s="1223"/>
      <c r="BJ54" s="1223"/>
      <c r="BK54" s="1223"/>
      <c r="BL54" s="1223"/>
      <c r="BM54" s="1223"/>
      <c r="BN54" s="1223"/>
      <c r="BO54" s="1223"/>
      <c r="BP54" s="1223"/>
      <c r="BQ54" s="1223"/>
      <c r="BR54" s="1223"/>
      <c r="BS54" s="1223"/>
      <c r="BT54" s="1223"/>
      <c r="BU54" s="1223"/>
      <c r="BV54" s="1223"/>
      <c r="BW54" s="1223"/>
      <c r="BX54" s="1223"/>
      <c r="BY54" s="1223"/>
      <c r="BZ54" s="1223"/>
      <c r="CA54" s="1223"/>
      <c r="CB54" s="1223"/>
      <c r="CC54" s="1223"/>
      <c r="CD54" s="1223"/>
      <c r="CE54" s="1223"/>
      <c r="CF54" s="1223"/>
      <c r="CG54" s="1223"/>
      <c r="CH54" s="1223"/>
      <c r="CI54" s="1223"/>
      <c r="CJ54" s="1223"/>
      <c r="CK54" s="1223"/>
      <c r="CL54" s="1223"/>
      <c r="CM54" s="1223"/>
      <c r="CN54" s="1223"/>
      <c r="CO54" s="1222"/>
      <c r="CP54" s="1222"/>
    </row>
    <row r="55" spans="5:94" ht="15.75" customHeight="1" x14ac:dyDescent="0.25">
      <c r="H55" s="1221"/>
      <c r="I55" s="1221"/>
      <c r="J55" s="1221"/>
      <c r="Q55" s="1227"/>
      <c r="R55" s="1227"/>
      <c r="S55" s="1227"/>
      <c r="T55" s="1227"/>
      <c r="U55" s="1227"/>
      <c r="V55" s="1227"/>
      <c r="W55" s="1242"/>
      <c r="X55" s="1227" t="s">
        <v>1175</v>
      </c>
      <c r="Y55" s="1222"/>
      <c r="Z55" s="1228"/>
      <c r="AA55" s="1228"/>
      <c r="AB55" s="1228"/>
      <c r="AC55" s="1228"/>
      <c r="AD55" s="1228"/>
      <c r="AE55" s="1228"/>
      <c r="AF55" s="1228"/>
      <c r="AG55" s="1228"/>
      <c r="AH55" s="1228"/>
      <c r="AI55" s="1228"/>
      <c r="AJ55" s="1228"/>
      <c r="AK55" s="1228"/>
      <c r="AL55" s="1228"/>
      <c r="AM55" s="1228"/>
      <c r="AN55" s="1228"/>
      <c r="AO55" s="1241"/>
      <c r="AP55" s="1241"/>
      <c r="AQ55" s="1241"/>
      <c r="AR55" s="1241"/>
      <c r="AS55" s="1223"/>
      <c r="AT55" s="1223"/>
      <c r="AU55" s="1223"/>
      <c r="AV55" s="1223"/>
      <c r="AW55" s="1223"/>
      <c r="AX55" s="1223"/>
      <c r="AY55" s="1223"/>
      <c r="AZ55" s="1223"/>
      <c r="BA55" s="1223"/>
      <c r="BB55" s="1223"/>
      <c r="BC55" s="1223"/>
      <c r="BD55" s="1223"/>
      <c r="BE55" s="1223"/>
      <c r="BF55" s="1223"/>
      <c r="BG55" s="1223"/>
      <c r="BH55" s="1223"/>
      <c r="BI55" s="1223"/>
      <c r="BJ55" s="1223"/>
      <c r="BK55" s="1223"/>
      <c r="BL55" s="1223"/>
      <c r="BM55" s="1223"/>
      <c r="BN55" s="1223"/>
      <c r="BO55" s="1223"/>
      <c r="BP55" s="1223"/>
      <c r="BQ55" s="1223"/>
      <c r="BR55" s="1223"/>
      <c r="BS55" s="1223"/>
      <c r="BT55" s="1223"/>
      <c r="BU55" s="1223"/>
      <c r="BV55" s="1223"/>
      <c r="BW55" s="1223"/>
      <c r="BX55" s="1223"/>
      <c r="BY55" s="1223"/>
      <c r="BZ55" s="1223"/>
      <c r="CA55" s="1223"/>
      <c r="CB55" s="1223"/>
      <c r="CC55" s="1223"/>
      <c r="CD55" s="1223"/>
      <c r="CE55" s="1223"/>
      <c r="CF55" s="1223"/>
      <c r="CG55" s="1223"/>
      <c r="CH55" s="1223"/>
      <c r="CI55" s="1223"/>
      <c r="CJ55" s="1223"/>
      <c r="CK55" s="1223"/>
      <c r="CL55" s="1223"/>
      <c r="CM55" s="1223"/>
      <c r="CN55" s="1223"/>
      <c r="CO55" s="1222"/>
      <c r="CP55" s="1222"/>
    </row>
    <row r="56" spans="5:94" ht="15.75" customHeight="1" x14ac:dyDescent="0.25">
      <c r="H56" s="1221"/>
      <c r="I56" s="1221"/>
      <c r="J56" s="1221"/>
      <c r="Q56" s="1227"/>
      <c r="R56" s="1227"/>
      <c r="S56" s="1227"/>
      <c r="T56" s="1227"/>
      <c r="U56" s="1227"/>
      <c r="V56" s="1227"/>
      <c r="W56" s="1242"/>
      <c r="X56" s="1242"/>
      <c r="Y56" s="1222"/>
      <c r="Z56" s="1649" t="s">
        <v>1176</v>
      </c>
      <c r="AA56" s="1649"/>
      <c r="AB56" s="1649"/>
      <c r="AC56" s="1649"/>
      <c r="AD56" s="1649"/>
      <c r="AE56" s="1649"/>
      <c r="AF56" s="1649"/>
      <c r="AG56" s="1649"/>
      <c r="AH56" s="1649"/>
      <c r="AI56" s="1649"/>
      <c r="AJ56" s="1228"/>
      <c r="AK56" s="1228"/>
      <c r="AL56" s="1650">
        <v>2019</v>
      </c>
      <c r="AM56" s="1650"/>
      <c r="AN56" s="1650"/>
      <c r="AO56" s="1650"/>
      <c r="AP56" s="1650"/>
      <c r="AQ56" s="1650"/>
      <c r="AR56" s="1650"/>
      <c r="AS56" s="1650"/>
      <c r="AT56" s="1223"/>
      <c r="AU56" s="1223"/>
      <c r="AV56" s="1223"/>
      <c r="AW56" s="1223"/>
      <c r="AX56" s="1223"/>
      <c r="AY56" s="1223"/>
      <c r="AZ56" s="1223"/>
      <c r="BA56" s="1223"/>
      <c r="BB56" s="1223"/>
      <c r="BC56" s="1223"/>
      <c r="BD56" s="1223"/>
      <c r="BE56" s="1223"/>
      <c r="BF56" s="1223"/>
      <c r="BG56" s="1223"/>
      <c r="BH56" s="1223"/>
      <c r="BI56" s="1223"/>
      <c r="BJ56" s="1223"/>
      <c r="BK56" s="1223"/>
      <c r="BL56" s="1223"/>
      <c r="BM56" s="1223"/>
      <c r="BN56" s="1223"/>
      <c r="BO56" s="1223"/>
      <c r="BP56" s="1223"/>
      <c r="BQ56" s="1223"/>
      <c r="BR56" s="1223"/>
      <c r="BS56" s="1223"/>
      <c r="BT56" s="1223"/>
      <c r="BU56" s="1223"/>
      <c r="BV56" s="1223"/>
      <c r="BW56" s="1223"/>
      <c r="BX56" s="1223"/>
      <c r="BY56" s="1223"/>
      <c r="BZ56" s="1223"/>
      <c r="CA56" s="1223"/>
      <c r="CB56" s="1223"/>
      <c r="CC56" s="1223"/>
      <c r="CD56" s="1223"/>
      <c r="CE56" s="1223"/>
      <c r="CF56" s="1223"/>
      <c r="CG56" s="1223"/>
      <c r="CH56" s="1223"/>
      <c r="CI56" s="1223"/>
      <c r="CJ56" s="1223"/>
      <c r="CK56" s="1223"/>
      <c r="CL56" s="1223"/>
      <c r="CM56" s="1223"/>
      <c r="CN56" s="1223"/>
      <c r="CO56" s="1222"/>
      <c r="CP56" s="1227"/>
    </row>
    <row r="57" spans="5:94" s="315" customFormat="1" x14ac:dyDescent="0.25">
      <c r="H57" s="1217"/>
      <c r="I57" s="1217"/>
      <c r="J57" s="1217"/>
      <c r="K57" s="521"/>
      <c r="L57" s="521"/>
      <c r="M57" s="521"/>
      <c r="N57" s="521"/>
      <c r="O57" s="521"/>
      <c r="P57" s="521"/>
      <c r="Q57" s="1222"/>
      <c r="R57" s="1222"/>
      <c r="S57" s="1222"/>
      <c r="T57" s="1222"/>
      <c r="U57" s="1222"/>
      <c r="V57" s="1222"/>
      <c r="W57" s="1222"/>
      <c r="X57" s="1222"/>
      <c r="Y57" s="1222"/>
      <c r="Z57" s="1228"/>
      <c r="AA57" s="1228"/>
      <c r="AB57" s="1228"/>
      <c r="AC57" s="1228"/>
      <c r="AD57" s="1228"/>
      <c r="AE57" s="1228"/>
      <c r="AF57" s="1228"/>
      <c r="AG57" s="1228"/>
      <c r="AH57" s="1228"/>
      <c r="AI57" s="1228"/>
      <c r="AJ57" s="1228"/>
      <c r="AK57" s="1228"/>
      <c r="AL57" s="1228"/>
      <c r="AM57" s="1228"/>
      <c r="AN57" s="1228"/>
      <c r="AO57" s="1228"/>
      <c r="AP57" s="1228"/>
      <c r="AQ57" s="1228"/>
      <c r="AR57" s="1228"/>
      <c r="AS57" s="1222"/>
      <c r="AT57" s="1222"/>
      <c r="AU57" s="1222"/>
      <c r="AV57" s="1222"/>
      <c r="AW57" s="1222"/>
      <c r="AX57" s="1222"/>
      <c r="AY57" s="1222"/>
      <c r="AZ57" s="1222"/>
      <c r="BA57" s="1222"/>
      <c r="BB57" s="1222"/>
      <c r="BC57" s="1222"/>
      <c r="BD57" s="1222"/>
      <c r="BE57" s="1222"/>
      <c r="BF57" s="1222"/>
      <c r="BG57" s="1222"/>
      <c r="BH57" s="1222"/>
      <c r="BI57" s="1222"/>
      <c r="BJ57" s="1222"/>
      <c r="BK57" s="1222"/>
      <c r="BL57" s="1222"/>
      <c r="BM57" s="1222"/>
      <c r="BN57" s="1222"/>
      <c r="BO57" s="1222"/>
      <c r="BP57" s="1222"/>
      <c r="BQ57" s="1222"/>
      <c r="BR57" s="1222"/>
      <c r="BS57" s="1222"/>
      <c r="BT57" s="1222"/>
      <c r="BU57" s="1222"/>
      <c r="BV57" s="1222"/>
      <c r="BW57" s="1222"/>
      <c r="BX57" s="1222"/>
      <c r="BY57" s="1222"/>
      <c r="BZ57" s="1222"/>
      <c r="CA57" s="1222"/>
      <c r="CB57" s="1222"/>
      <c r="CC57" s="1222"/>
      <c r="CD57" s="1222"/>
      <c r="CE57" s="1222"/>
      <c r="CF57" s="1222"/>
      <c r="CG57" s="1222"/>
      <c r="CH57" s="1222"/>
      <c r="CI57" s="1222"/>
      <c r="CJ57" s="1222"/>
      <c r="CK57" s="1222"/>
      <c r="CL57" s="1222"/>
      <c r="CM57" s="1222"/>
      <c r="CN57" s="1222"/>
      <c r="CO57" s="1222"/>
      <c r="CP57" s="1222"/>
    </row>
    <row r="58" spans="5:94" s="315" customFormat="1" x14ac:dyDescent="0.25">
      <c r="H58" s="1217"/>
      <c r="I58" s="1217"/>
      <c r="J58" s="1217"/>
      <c r="K58" s="521"/>
      <c r="L58" s="521"/>
      <c r="M58" s="521"/>
      <c r="N58" s="521"/>
      <c r="O58" s="521"/>
      <c r="P58" s="521"/>
      <c r="Q58" s="1217"/>
      <c r="R58" s="1217"/>
      <c r="S58" s="1217"/>
      <c r="T58" s="1217"/>
      <c r="U58" s="1217"/>
      <c r="V58" s="1217"/>
      <c r="W58" s="1217"/>
      <c r="X58" s="1217"/>
      <c r="Y58" s="1217"/>
      <c r="Z58" s="1218"/>
      <c r="AA58" s="1218"/>
      <c r="AB58" s="1218"/>
      <c r="AC58" s="1218"/>
      <c r="AD58" s="1218"/>
      <c r="AE58" s="1218"/>
      <c r="AF58" s="1218"/>
      <c r="AG58" s="1218"/>
      <c r="AH58" s="1218"/>
      <c r="AI58" s="1218"/>
      <c r="AJ58" s="1218"/>
      <c r="AK58" s="1218"/>
      <c r="AL58" s="1218"/>
      <c r="AM58" s="1218"/>
      <c r="AN58" s="1218"/>
      <c r="AO58" s="1218"/>
      <c r="AP58" s="1218"/>
      <c r="AQ58" s="1218"/>
      <c r="AR58" s="1218"/>
      <c r="AS58" s="1217"/>
      <c r="AT58" s="1217"/>
      <c r="AU58" s="1217"/>
      <c r="AV58" s="1217"/>
      <c r="AW58" s="1217"/>
      <c r="AX58" s="1217"/>
      <c r="AY58" s="1217"/>
      <c r="AZ58" s="1217"/>
      <c r="BA58" s="1217"/>
      <c r="BB58" s="1217"/>
      <c r="BC58" s="1217"/>
      <c r="BD58" s="1217"/>
      <c r="BE58" s="1217"/>
      <c r="BF58" s="1217"/>
      <c r="BG58" s="1217"/>
      <c r="BH58" s="1217"/>
      <c r="BI58" s="1217"/>
      <c r="BJ58" s="1217"/>
      <c r="BK58" s="1217"/>
      <c r="BL58" s="1217"/>
      <c r="BM58" s="1217"/>
      <c r="BN58" s="1217"/>
      <c r="BO58" s="1217"/>
      <c r="BP58" s="1217"/>
      <c r="BQ58" s="1217"/>
      <c r="BR58" s="1217"/>
      <c r="BS58" s="1217"/>
      <c r="BT58" s="1217"/>
      <c r="BU58" s="1217"/>
      <c r="BV58" s="1217"/>
      <c r="BW58" s="1217"/>
      <c r="BX58" s="1217"/>
      <c r="BY58" s="1217"/>
      <c r="BZ58" s="1217"/>
      <c r="CA58" s="1217"/>
      <c r="CB58" s="1217"/>
      <c r="CC58" s="1217"/>
      <c r="CD58" s="1217"/>
      <c r="CE58" s="1217"/>
      <c r="CF58" s="1217"/>
      <c r="CG58" s="1217"/>
      <c r="CH58" s="1217"/>
      <c r="CI58" s="1217"/>
      <c r="CJ58" s="1217"/>
      <c r="CK58" s="1217"/>
      <c r="CL58" s="1217"/>
      <c r="CM58" s="1217"/>
      <c r="CN58" s="1217"/>
      <c r="CO58" s="1217"/>
      <c r="CP58" s="1217"/>
    </row>
    <row r="59" spans="5:94" ht="15.75" customHeight="1" x14ac:dyDescent="0.25">
      <c r="H59" s="1221"/>
      <c r="I59" s="1221"/>
      <c r="J59" s="1221"/>
      <c r="Q59" s="1222"/>
      <c r="R59" s="1222"/>
      <c r="S59" s="1222"/>
      <c r="T59" s="1222"/>
      <c r="U59" s="1242"/>
      <c r="V59" s="1242"/>
      <c r="W59" s="1242"/>
      <c r="X59" s="1242"/>
      <c r="Y59" s="1223"/>
      <c r="Z59" s="1228"/>
      <c r="AA59" s="1228"/>
      <c r="AB59" s="1228"/>
      <c r="AC59" s="1228"/>
      <c r="AD59" s="1228"/>
      <c r="AE59" s="1228"/>
      <c r="AF59" s="1228"/>
      <c r="AG59" s="1228"/>
      <c r="AH59" s="1228"/>
      <c r="AI59" s="1228"/>
      <c r="AJ59" s="1228"/>
      <c r="AK59" s="1228"/>
      <c r="AL59" s="1228"/>
      <c r="AM59" s="1228"/>
      <c r="AN59" s="1228"/>
      <c r="AO59" s="1241"/>
      <c r="AP59" s="1241"/>
      <c r="AQ59" s="1241"/>
      <c r="AR59" s="1241"/>
      <c r="AS59" s="1223"/>
      <c r="AT59" s="1223"/>
      <c r="AU59" s="1223"/>
      <c r="AV59" s="1223"/>
      <c r="AW59" s="1223"/>
      <c r="AX59" s="1223"/>
      <c r="AY59" s="1223"/>
      <c r="AZ59" s="1223"/>
      <c r="BA59" s="1223"/>
      <c r="BB59" s="1223"/>
      <c r="BC59" s="1223"/>
      <c r="BD59" s="1223"/>
      <c r="BE59" s="1223"/>
      <c r="BF59" s="1223"/>
      <c r="BG59" s="1223"/>
      <c r="BH59" s="1223"/>
      <c r="BI59" s="1223"/>
      <c r="BJ59" s="1223"/>
      <c r="BK59" s="1223"/>
      <c r="BL59" s="1223"/>
      <c r="BM59" s="1223"/>
      <c r="BN59" s="1223"/>
      <c r="BO59" s="1223"/>
      <c r="BP59" s="1223"/>
      <c r="BQ59" s="1223"/>
      <c r="BR59" s="1223"/>
      <c r="BS59" s="1223"/>
      <c r="BT59" s="1223"/>
      <c r="BU59" s="1223"/>
      <c r="BV59" s="1223"/>
      <c r="BW59" s="1223"/>
      <c r="BX59" s="1223"/>
      <c r="BY59" s="1223"/>
      <c r="BZ59" s="1223"/>
      <c r="CA59" s="1223"/>
      <c r="CB59" s="1223"/>
      <c r="CC59" s="1223"/>
      <c r="CD59" s="1223"/>
      <c r="CE59" s="1223"/>
      <c r="CF59" s="1223"/>
      <c r="CG59" s="1223"/>
      <c r="CH59" s="1223"/>
      <c r="CI59" s="1223"/>
      <c r="CJ59" s="1223"/>
      <c r="CK59" s="1223"/>
      <c r="CL59" s="1223"/>
      <c r="CM59" s="1223"/>
      <c r="CN59" s="1223"/>
      <c r="CO59" s="1222"/>
      <c r="CP59" s="1222"/>
    </row>
    <row r="60" spans="5:94" ht="30" x14ac:dyDescent="0.25">
      <c r="H60" s="1220"/>
      <c r="I60" s="1220"/>
      <c r="J60" s="1220"/>
      <c r="Q60" s="1193" t="s">
        <v>1177</v>
      </c>
      <c r="R60" s="1193"/>
      <c r="S60" s="1193"/>
      <c r="T60" s="1193"/>
      <c r="U60" s="1193"/>
      <c r="V60" s="1193"/>
      <c r="W60" s="1193"/>
      <c r="X60" s="1193"/>
      <c r="Y60" s="1193"/>
      <c r="Z60" s="1193"/>
      <c r="AA60" s="1193"/>
      <c r="AB60" s="1193"/>
      <c r="AC60" s="1193"/>
      <c r="AD60" s="1193"/>
      <c r="AE60" s="1193"/>
      <c r="AF60" s="1193"/>
      <c r="AG60" s="1193"/>
      <c r="AH60" s="1193"/>
      <c r="AI60" s="1193"/>
      <c r="AJ60" s="1193"/>
      <c r="AK60" s="1193"/>
      <c r="AL60" s="1193"/>
      <c r="AM60" s="1193"/>
      <c r="AN60" s="1193"/>
      <c r="AO60" s="1193"/>
      <c r="AP60" s="1193"/>
      <c r="AQ60" s="1193"/>
      <c r="AR60" s="1193"/>
      <c r="AS60" s="1193"/>
      <c r="AT60" s="1193"/>
      <c r="AU60" s="1193"/>
      <c r="AV60" s="1193"/>
      <c r="AW60" s="1193"/>
      <c r="AX60" s="1193"/>
      <c r="AY60" s="1193"/>
      <c r="AZ60" s="1193"/>
      <c r="BA60" s="1193"/>
      <c r="BB60" s="1193"/>
      <c r="BC60" s="1193"/>
      <c r="BD60" s="1193"/>
      <c r="BE60" s="1193"/>
      <c r="BF60" s="1193"/>
      <c r="BG60" s="1193"/>
      <c r="BH60" s="1193"/>
      <c r="BI60" s="1193"/>
      <c r="BJ60" s="1193"/>
      <c r="BK60" s="1193"/>
      <c r="BL60" s="1193"/>
      <c r="BM60" s="1193"/>
      <c r="BN60" s="1193"/>
      <c r="BO60" s="1193"/>
      <c r="BP60" s="1193"/>
      <c r="BQ60" s="1193"/>
      <c r="BR60" s="1193"/>
      <c r="BS60" s="1193"/>
      <c r="BT60" s="1193"/>
      <c r="BU60" s="1193"/>
      <c r="BV60" s="1193"/>
      <c r="BW60" s="1193"/>
      <c r="BX60" s="1193"/>
      <c r="BY60" s="1193"/>
      <c r="BZ60" s="1193"/>
      <c r="CA60" s="1193"/>
      <c r="CB60" s="1193"/>
      <c r="CC60" s="1193"/>
      <c r="CD60" s="1193"/>
      <c r="CE60" s="1193"/>
      <c r="CF60" s="1193"/>
      <c r="CG60" s="1193"/>
      <c r="CH60" s="1193"/>
      <c r="CI60" s="1193"/>
      <c r="CJ60" s="1193"/>
      <c r="CK60" s="1193"/>
      <c r="CL60" s="1193"/>
      <c r="CM60" s="1193"/>
      <c r="CN60" s="1193"/>
      <c r="CO60" s="1193"/>
      <c r="CP60" s="1193"/>
    </row>
    <row r="61" spans="5:94" ht="18" x14ac:dyDescent="0.25">
      <c r="Q61" s="1222"/>
      <c r="R61" s="1222"/>
      <c r="S61" s="1222"/>
      <c r="T61" s="1222"/>
      <c r="U61" s="1242"/>
      <c r="V61" s="1242"/>
      <c r="W61" s="1242"/>
      <c r="X61" s="1242"/>
      <c r="Y61" s="1223"/>
      <c r="Z61" s="1228"/>
      <c r="AA61" s="1228"/>
      <c r="AB61" s="1228"/>
      <c r="AC61" s="1228"/>
      <c r="AD61" s="1228"/>
      <c r="AE61" s="1228"/>
      <c r="AF61" s="1228"/>
      <c r="AG61" s="1228"/>
      <c r="AH61" s="1228"/>
      <c r="AI61" s="1228"/>
      <c r="AJ61" s="1228"/>
      <c r="AK61" s="1228"/>
      <c r="AL61" s="1228"/>
      <c r="AM61" s="1228"/>
      <c r="AN61" s="1228"/>
      <c r="AO61" s="1241"/>
      <c r="AP61" s="1241"/>
      <c r="AQ61" s="1241"/>
      <c r="AR61" s="1241"/>
      <c r="AS61" s="1223"/>
      <c r="AT61" s="1223"/>
      <c r="AU61" s="1223"/>
      <c r="AV61" s="1223"/>
      <c r="AW61" s="1223"/>
      <c r="AX61" s="1223"/>
      <c r="AY61" s="1223"/>
      <c r="AZ61" s="1223"/>
      <c r="BA61" s="1223"/>
      <c r="BB61" s="1223"/>
      <c r="BC61" s="1223"/>
      <c r="BD61" s="1223"/>
      <c r="BE61" s="1223"/>
      <c r="BF61" s="1223"/>
      <c r="BG61" s="1223"/>
      <c r="BH61" s="1223"/>
      <c r="BI61" s="1223"/>
      <c r="BJ61" s="1223"/>
      <c r="BK61" s="1223"/>
      <c r="BL61" s="1223"/>
      <c r="BM61" s="1223"/>
      <c r="BN61" s="1223"/>
      <c r="BO61" s="1223"/>
      <c r="BP61" s="1223"/>
      <c r="BQ61" s="1223"/>
      <c r="BR61" s="1223"/>
      <c r="BS61" s="1223"/>
      <c r="BT61" s="1223"/>
      <c r="BU61" s="1223"/>
      <c r="BV61" s="1223"/>
      <c r="BW61" s="1223"/>
      <c r="BX61" s="1223"/>
      <c r="BY61" s="1223"/>
      <c r="BZ61" s="1223"/>
      <c r="CA61" s="1223"/>
      <c r="CB61" s="1223"/>
      <c r="CC61" s="1223"/>
      <c r="CD61" s="1223"/>
      <c r="CE61" s="1223"/>
      <c r="CF61" s="1223"/>
      <c r="CG61" s="1223"/>
      <c r="CH61" s="1223"/>
      <c r="CI61" s="1223"/>
      <c r="CJ61" s="1223"/>
      <c r="CK61" s="1223"/>
      <c r="CL61" s="1223"/>
      <c r="CM61" s="1223"/>
      <c r="CN61" s="1223"/>
      <c r="CO61" s="1222"/>
      <c r="CP61" s="1222"/>
    </row>
    <row r="62" spans="5:94" ht="18" x14ac:dyDescent="0.25">
      <c r="Q62" s="1222"/>
      <c r="R62" s="1222"/>
      <c r="S62" s="1222"/>
      <c r="T62" s="1222"/>
      <c r="U62" s="1242"/>
      <c r="V62" s="1242"/>
      <c r="W62" s="1242"/>
      <c r="X62" s="1242"/>
      <c r="Y62" s="1223"/>
      <c r="Z62" s="1649" t="s">
        <v>1178</v>
      </c>
      <c r="AA62" s="1649"/>
      <c r="AB62" s="1649"/>
      <c r="AC62" s="1649"/>
      <c r="AD62" s="1649"/>
      <c r="AE62" s="1649"/>
      <c r="AF62" s="1649"/>
      <c r="AG62" s="1649"/>
      <c r="AH62" s="1649"/>
      <c r="AI62" s="1649"/>
      <c r="AJ62" s="1223"/>
      <c r="AK62" s="1223"/>
      <c r="AL62" s="1653" t="str">
        <f ca="1">INDIRECT(dms_Model)</f>
        <v>Annual Reporting</v>
      </c>
      <c r="AM62" s="1653"/>
      <c r="AN62" s="1653"/>
      <c r="AO62" s="1653"/>
      <c r="AP62" s="1653"/>
      <c r="AQ62" s="1653"/>
      <c r="AR62" s="1653"/>
      <c r="AS62" s="1653"/>
      <c r="AT62" s="1653"/>
      <c r="AU62" s="1653"/>
      <c r="AV62" s="1653"/>
      <c r="AW62" s="1653"/>
      <c r="AX62" s="1653"/>
      <c r="AY62" s="1653"/>
      <c r="AZ62" s="1653"/>
      <c r="BA62" s="1653"/>
      <c r="BB62" s="1223"/>
      <c r="BC62" s="1223"/>
      <c r="BD62" s="1223"/>
      <c r="BE62" s="1223"/>
      <c r="BF62" s="1223"/>
      <c r="BG62" s="1223"/>
      <c r="BH62" s="1223"/>
      <c r="BI62" s="1223"/>
      <c r="BJ62" s="1223"/>
      <c r="BK62" s="1223"/>
      <c r="BL62" s="1223"/>
      <c r="BM62" s="1223"/>
      <c r="BN62" s="1223"/>
      <c r="BO62" s="1223"/>
      <c r="BP62" s="1223"/>
      <c r="BQ62" s="1223"/>
      <c r="BR62" s="1223"/>
      <c r="BS62" s="1223"/>
      <c r="BT62" s="1223"/>
      <c r="BU62" s="1223"/>
      <c r="BV62" s="1223"/>
      <c r="BW62" s="1223"/>
      <c r="BX62" s="1223"/>
      <c r="BY62" s="1223"/>
      <c r="BZ62" s="1223"/>
      <c r="CA62" s="1223"/>
      <c r="CB62" s="1223"/>
      <c r="CC62" s="1223"/>
      <c r="CD62" s="1223"/>
      <c r="CE62" s="1223"/>
      <c r="CF62" s="1223"/>
      <c r="CG62" s="1223"/>
      <c r="CH62" s="1223"/>
      <c r="CI62" s="1223"/>
      <c r="CJ62" s="1223"/>
      <c r="CK62" s="1223"/>
      <c r="CL62" s="1223"/>
      <c r="CM62" s="1223"/>
      <c r="CN62" s="1223"/>
      <c r="CO62" s="1222"/>
      <c r="CP62" s="1222"/>
    </row>
    <row r="63" spans="5:94" ht="18" x14ac:dyDescent="0.25">
      <c r="Q63" s="1222"/>
      <c r="R63" s="1222"/>
      <c r="S63" s="1222"/>
      <c r="T63" s="1222"/>
      <c r="U63" s="1242"/>
      <c r="V63" s="1242"/>
      <c r="W63" s="1242"/>
      <c r="X63" s="1242"/>
      <c r="Y63" s="1223"/>
      <c r="Z63" s="1228"/>
      <c r="AA63" s="1228"/>
      <c r="AB63" s="1228"/>
      <c r="AC63" s="1228"/>
      <c r="AD63" s="1228"/>
      <c r="AE63" s="1228"/>
      <c r="AF63" s="1228"/>
      <c r="AG63" s="1228"/>
      <c r="AH63" s="1228"/>
      <c r="AI63" s="1228"/>
      <c r="AJ63" s="1228"/>
      <c r="AK63" s="1228"/>
      <c r="AL63" s="1228"/>
      <c r="AM63" s="1228"/>
      <c r="AN63" s="1228"/>
      <c r="AO63" s="1241"/>
      <c r="AP63" s="1241"/>
      <c r="AQ63" s="1241"/>
      <c r="AR63" s="1241"/>
      <c r="AS63" s="1223"/>
      <c r="AT63" s="1223"/>
      <c r="AU63" s="1223"/>
      <c r="AV63" s="1223"/>
      <c r="AW63" s="1223"/>
      <c r="AX63" s="1223"/>
      <c r="AY63" s="1223"/>
      <c r="AZ63" s="1223"/>
      <c r="BA63" s="1223"/>
      <c r="BB63" s="1223"/>
      <c r="BC63" s="1223"/>
      <c r="BD63" s="1223"/>
      <c r="BE63" s="1223"/>
      <c r="BF63" s="1223"/>
      <c r="BG63" s="1223"/>
      <c r="BH63" s="1223"/>
      <c r="BI63" s="1223"/>
      <c r="BJ63" s="1223"/>
      <c r="BK63" s="1223"/>
      <c r="BL63" s="1223"/>
      <c r="BM63" s="1223"/>
      <c r="BN63" s="1223"/>
      <c r="BO63" s="1223"/>
      <c r="BP63" s="1223"/>
      <c r="BQ63" s="1223"/>
      <c r="BR63" s="1223"/>
      <c r="BS63" s="1223"/>
      <c r="BT63" s="1223"/>
      <c r="BU63" s="1223"/>
      <c r="BV63" s="1223"/>
      <c r="BW63" s="1223"/>
      <c r="BX63" s="1223"/>
      <c r="BY63" s="1223"/>
      <c r="BZ63" s="1223"/>
      <c r="CA63" s="1223"/>
      <c r="CB63" s="1223"/>
      <c r="CC63" s="1223"/>
      <c r="CD63" s="1223"/>
      <c r="CE63" s="1223"/>
      <c r="CF63" s="1223"/>
      <c r="CG63" s="1223"/>
      <c r="CH63" s="1223"/>
      <c r="CI63" s="1223"/>
      <c r="CJ63" s="1223"/>
      <c r="CK63" s="1223"/>
      <c r="CL63" s="1223"/>
      <c r="CM63" s="1223"/>
      <c r="CN63" s="1223"/>
      <c r="CO63" s="1222"/>
      <c r="CP63" s="1222"/>
    </row>
    <row r="64" spans="5:94" ht="15.75" customHeight="1" x14ac:dyDescent="0.25">
      <c r="H64" s="1221"/>
      <c r="I64" s="1221"/>
      <c r="J64" s="1221"/>
      <c r="Q64" s="1243"/>
      <c r="R64" s="1243"/>
      <c r="S64" s="1243"/>
      <c r="T64" s="1243"/>
      <c r="U64" s="1243"/>
      <c r="V64" s="1243"/>
      <c r="W64" s="1228"/>
      <c r="X64" s="1228"/>
      <c r="Y64" s="1228"/>
      <c r="Z64" s="1649" t="s">
        <v>459</v>
      </c>
      <c r="AA64" s="1649"/>
      <c r="AB64" s="1649"/>
      <c r="AC64" s="1649"/>
      <c r="AD64" s="1649"/>
      <c r="AE64" s="1649"/>
      <c r="AF64" s="1649"/>
      <c r="AG64" s="1649"/>
      <c r="AH64" s="1649"/>
      <c r="AI64" s="1649"/>
      <c r="AJ64" s="1223"/>
      <c r="AK64" s="1223"/>
      <c r="AL64" s="1658" t="s">
        <v>254</v>
      </c>
      <c r="AM64" s="1658"/>
      <c r="AN64" s="1658"/>
      <c r="AO64" s="1658"/>
      <c r="AP64" s="1658"/>
      <c r="AQ64" s="1658"/>
      <c r="AR64" s="1658"/>
      <c r="AS64" s="1658"/>
      <c r="AT64" s="1658"/>
      <c r="AU64" s="1658"/>
      <c r="AV64" s="1658"/>
      <c r="AW64" s="1658"/>
      <c r="AX64" s="1658"/>
      <c r="AY64" s="1658"/>
      <c r="AZ64" s="1658"/>
      <c r="BA64" s="1658"/>
      <c r="BB64" s="1223"/>
      <c r="BC64" s="1223"/>
      <c r="BD64" s="1223"/>
      <c r="BE64" s="1223"/>
      <c r="BF64" s="1223"/>
      <c r="BG64" s="1223"/>
      <c r="BH64" s="1223"/>
      <c r="BI64" s="1223"/>
      <c r="BJ64" s="1223"/>
      <c r="BK64" s="1223"/>
      <c r="BL64" s="1223"/>
      <c r="BM64" s="1223"/>
      <c r="BN64" s="1223"/>
      <c r="BO64" s="1223"/>
      <c r="BP64" s="1223"/>
      <c r="BQ64" s="1223"/>
      <c r="BR64" s="1223"/>
      <c r="BS64" s="1223"/>
      <c r="BT64" s="1223"/>
      <c r="BU64" s="1223"/>
      <c r="BV64" s="1223"/>
      <c r="BW64" s="1223"/>
      <c r="BX64" s="1223"/>
      <c r="BY64" s="1223"/>
      <c r="BZ64" s="1223"/>
      <c r="CA64" s="1223"/>
      <c r="CB64" s="1223"/>
      <c r="CC64" s="1223"/>
      <c r="CD64" s="1223"/>
      <c r="CE64" s="1223"/>
      <c r="CF64" s="1223"/>
      <c r="CG64" s="1223"/>
      <c r="CH64" s="1223"/>
      <c r="CI64" s="1223"/>
      <c r="CJ64" s="1223"/>
      <c r="CK64" s="1223"/>
      <c r="CL64" s="1223"/>
      <c r="CM64" s="1223"/>
      <c r="CN64" s="1223"/>
      <c r="CO64" s="1222"/>
      <c r="CP64" s="1222"/>
    </row>
    <row r="65" spans="8:101" ht="15" customHeight="1" x14ac:dyDescent="0.25">
      <c r="H65" s="1221"/>
      <c r="I65" s="1221"/>
      <c r="J65" s="1221"/>
      <c r="Q65" s="1243"/>
      <c r="R65" s="1243"/>
      <c r="S65" s="1243"/>
      <c r="T65" s="1243"/>
      <c r="U65" s="1243"/>
      <c r="V65" s="1243"/>
      <c r="W65" s="1228"/>
      <c r="X65" s="1228"/>
      <c r="Y65" s="1228"/>
      <c r="Z65" s="1228"/>
      <c r="AA65" s="1228"/>
      <c r="AB65" s="1228"/>
      <c r="AC65" s="1228"/>
      <c r="AD65" s="1228"/>
      <c r="AE65" s="1241"/>
      <c r="AF65" s="1241"/>
      <c r="AG65" s="1241"/>
      <c r="AH65" s="1241"/>
      <c r="AI65" s="1223"/>
      <c r="AJ65" s="1223"/>
      <c r="AK65" s="1223"/>
      <c r="AL65" s="1223"/>
      <c r="AM65" s="1223"/>
      <c r="AN65" s="1223"/>
      <c r="AO65" s="1223"/>
      <c r="AP65" s="1223"/>
      <c r="AQ65" s="1223"/>
      <c r="AR65" s="1223"/>
      <c r="AS65" s="1223"/>
      <c r="AT65" s="1223"/>
      <c r="AU65" s="1223"/>
      <c r="AV65" s="1223"/>
      <c r="AW65" s="1223"/>
      <c r="AX65" s="1223"/>
      <c r="AY65" s="1223"/>
      <c r="AZ65" s="1223"/>
      <c r="BA65" s="1223"/>
      <c r="BB65" s="1223"/>
      <c r="BC65" s="1223"/>
      <c r="BD65" s="1223"/>
      <c r="BE65" s="1223"/>
      <c r="BF65" s="1223"/>
      <c r="BG65" s="1223"/>
      <c r="BH65" s="1223"/>
      <c r="BI65" s="1223"/>
      <c r="BJ65" s="1223"/>
      <c r="BK65" s="1223"/>
      <c r="BL65" s="1223"/>
      <c r="BM65" s="1223"/>
      <c r="BN65" s="1223"/>
      <c r="BO65" s="1223"/>
      <c r="BP65" s="1223"/>
      <c r="BQ65" s="1223"/>
      <c r="BR65" s="1223"/>
      <c r="BS65" s="1223"/>
      <c r="BT65" s="1223"/>
      <c r="BU65" s="1223"/>
      <c r="BV65" s="1223"/>
      <c r="BW65" s="1223"/>
      <c r="BX65" s="1223"/>
      <c r="BY65" s="1223"/>
      <c r="BZ65" s="1223"/>
      <c r="CA65" s="1223"/>
      <c r="CB65" s="1223"/>
      <c r="CC65" s="1223"/>
      <c r="CD65" s="1223"/>
      <c r="CE65" s="1223"/>
      <c r="CF65" s="1223"/>
      <c r="CG65" s="1223"/>
      <c r="CH65" s="1223"/>
      <c r="CI65" s="1223"/>
      <c r="CJ65" s="1223"/>
      <c r="CK65" s="1223"/>
      <c r="CL65" s="1223"/>
      <c r="CM65" s="1223"/>
      <c r="CN65" s="1223"/>
      <c r="CO65" s="1222"/>
      <c r="CP65" s="1222"/>
    </row>
    <row r="66" spans="8:101" ht="15.75" customHeight="1" x14ac:dyDescent="0.25">
      <c r="H66" s="1221"/>
      <c r="I66" s="1221"/>
      <c r="J66" s="1221"/>
      <c r="Q66" s="1243"/>
      <c r="R66" s="1243"/>
      <c r="S66" s="1243"/>
      <c r="T66" s="1243"/>
      <c r="U66" s="1243"/>
      <c r="V66" s="1243"/>
      <c r="W66" s="1243"/>
      <c r="X66" s="1243" t="s">
        <v>1179</v>
      </c>
      <c r="Y66" s="1228"/>
      <c r="Z66" s="1649" t="s">
        <v>1180</v>
      </c>
      <c r="AA66" s="1649"/>
      <c r="AB66" s="1649"/>
      <c r="AC66" s="1649"/>
      <c r="AD66" s="1649"/>
      <c r="AE66" s="1649"/>
      <c r="AF66" s="1649"/>
      <c r="AG66" s="1649"/>
      <c r="AH66" s="1649"/>
      <c r="AI66" s="1649"/>
      <c r="AJ66" s="1223"/>
      <c r="AK66" s="1223"/>
      <c r="AL66" s="1658" t="s">
        <v>232</v>
      </c>
      <c r="AM66" s="1658"/>
      <c r="AN66" s="1658"/>
      <c r="AO66" s="1658"/>
      <c r="AP66" s="1658"/>
      <c r="AQ66" s="1658"/>
      <c r="AR66" s="1658"/>
      <c r="AS66" s="1658"/>
      <c r="AT66" s="1658"/>
      <c r="AU66" s="1658"/>
      <c r="AV66" s="1658"/>
      <c r="AW66" s="1658"/>
      <c r="AX66" s="1658"/>
      <c r="AY66" s="1658"/>
      <c r="AZ66" s="1658"/>
      <c r="BA66" s="1658"/>
      <c r="BB66" s="1223"/>
      <c r="BC66" s="1223"/>
      <c r="BD66" s="1223"/>
      <c r="BE66" s="1223"/>
      <c r="BF66" s="1223"/>
      <c r="BG66" s="1223"/>
      <c r="BH66" s="1223"/>
      <c r="BI66" s="1223"/>
      <c r="BJ66" s="1223"/>
      <c r="BK66" s="1223"/>
      <c r="BL66" s="1223"/>
      <c r="BM66" s="1223"/>
      <c r="BN66" s="1223"/>
      <c r="BO66" s="1223"/>
      <c r="BP66" s="1223"/>
      <c r="BQ66" s="1223"/>
      <c r="BR66" s="1223"/>
      <c r="BS66" s="1223"/>
      <c r="BT66" s="1223"/>
      <c r="BU66" s="1223"/>
      <c r="BV66" s="1223"/>
      <c r="BW66" s="1223"/>
      <c r="BX66" s="1223"/>
      <c r="BY66" s="1223"/>
      <c r="BZ66" s="1223"/>
      <c r="CA66" s="1223"/>
      <c r="CB66" s="1223"/>
      <c r="CC66" s="1223"/>
      <c r="CD66" s="1223"/>
      <c r="CE66" s="1223"/>
      <c r="CF66" s="1223"/>
      <c r="CG66" s="1223"/>
      <c r="CH66" s="1223"/>
      <c r="CI66" s="1223"/>
      <c r="CJ66" s="1223"/>
      <c r="CK66" s="1223"/>
      <c r="CL66" s="1223"/>
      <c r="CM66" s="1222"/>
      <c r="CN66" s="1222"/>
      <c r="CO66" s="1228"/>
      <c r="CP66" s="1243"/>
    </row>
    <row r="67" spans="8:101" ht="15" customHeight="1" x14ac:dyDescent="0.25">
      <c r="H67" s="1221"/>
      <c r="I67" s="1221"/>
      <c r="J67" s="1221"/>
      <c r="Q67" s="1243"/>
      <c r="R67" s="1243"/>
      <c r="S67" s="1243"/>
      <c r="T67" s="1243"/>
      <c r="U67" s="1243"/>
      <c r="V67" s="1243"/>
      <c r="W67" s="1228"/>
      <c r="X67" s="1228"/>
      <c r="Y67" s="1228"/>
      <c r="Z67" s="1228"/>
      <c r="AA67" s="1228"/>
      <c r="AB67" s="1228"/>
      <c r="AC67" s="1228"/>
      <c r="AD67" s="1228"/>
      <c r="AE67" s="1241"/>
      <c r="AF67" s="1241"/>
      <c r="AG67" s="1241"/>
      <c r="AH67" s="1241"/>
      <c r="AI67" s="1223"/>
      <c r="AJ67" s="1223"/>
      <c r="AK67" s="1223"/>
      <c r="AL67" s="1223"/>
      <c r="AM67" s="1223"/>
      <c r="AN67" s="1223"/>
      <c r="AO67" s="1223"/>
      <c r="AP67" s="1223"/>
      <c r="AQ67" s="1223"/>
      <c r="AR67" s="1223"/>
      <c r="AS67" s="1223"/>
      <c r="AT67" s="1223"/>
      <c r="AU67" s="1223"/>
      <c r="AV67" s="1223"/>
      <c r="AW67" s="1223"/>
      <c r="AX67" s="1223"/>
      <c r="AY67" s="1223"/>
      <c r="AZ67" s="1223"/>
      <c r="BA67" s="1223"/>
      <c r="BB67" s="1223"/>
      <c r="BC67" s="1223"/>
      <c r="BD67" s="1223"/>
      <c r="BE67" s="1223"/>
      <c r="BF67" s="1223"/>
      <c r="BG67" s="1223"/>
      <c r="BH67" s="1223"/>
      <c r="BI67" s="1223"/>
      <c r="BJ67" s="1223"/>
      <c r="BK67" s="1223"/>
      <c r="BL67" s="1223"/>
      <c r="BM67" s="1223"/>
      <c r="BN67" s="1223"/>
      <c r="BO67" s="1223"/>
      <c r="BP67" s="1223"/>
      <c r="BQ67" s="1223"/>
      <c r="BR67" s="1223"/>
      <c r="BS67" s="1223"/>
      <c r="BT67" s="1223"/>
      <c r="BU67" s="1223"/>
      <c r="BV67" s="1223"/>
      <c r="BW67" s="1223"/>
      <c r="BX67" s="1223"/>
      <c r="BY67" s="1223"/>
      <c r="BZ67" s="1223"/>
      <c r="CA67" s="1223"/>
      <c r="CB67" s="1223"/>
      <c r="CC67" s="1223"/>
      <c r="CD67" s="1223"/>
      <c r="CE67" s="1223"/>
      <c r="CF67" s="1223"/>
      <c r="CG67" s="1223"/>
      <c r="CH67" s="1223"/>
      <c r="CI67" s="1223"/>
      <c r="CJ67" s="1223"/>
      <c r="CK67" s="1223"/>
      <c r="CL67" s="1223"/>
      <c r="CM67" s="1222"/>
      <c r="CN67" s="1222"/>
      <c r="CO67" s="1228"/>
      <c r="CP67" s="1243"/>
    </row>
    <row r="68" spans="8:101" ht="15.75" customHeight="1" x14ac:dyDescent="0.25">
      <c r="H68" s="1221"/>
      <c r="I68" s="1221"/>
      <c r="J68" s="1221"/>
      <c r="Q68" s="1243"/>
      <c r="R68" s="1243"/>
      <c r="S68" s="1243"/>
      <c r="T68" s="1243"/>
      <c r="U68" s="1243"/>
      <c r="V68" s="1243"/>
      <c r="W68" s="1228"/>
      <c r="X68" s="1228"/>
      <c r="Y68" s="1228"/>
      <c r="Z68" s="1649" t="s">
        <v>1181</v>
      </c>
      <c r="AA68" s="1649"/>
      <c r="AB68" s="1649"/>
      <c r="AC68" s="1649"/>
      <c r="AD68" s="1649"/>
      <c r="AE68" s="1649"/>
      <c r="AF68" s="1649"/>
      <c r="AG68" s="1649"/>
      <c r="AH68" s="1649"/>
      <c r="AI68" s="1649"/>
      <c r="AJ68" s="1223"/>
      <c r="AK68" s="1223"/>
      <c r="AL68" s="1658" t="s">
        <v>787</v>
      </c>
      <c r="AM68" s="1658"/>
      <c r="AN68" s="1658"/>
      <c r="AO68" s="1658"/>
      <c r="AP68" s="1658"/>
      <c r="AQ68" s="1658"/>
      <c r="AR68" s="1658"/>
      <c r="AS68" s="1658"/>
      <c r="AT68" s="1658"/>
      <c r="AU68" s="1658"/>
      <c r="AV68" s="1658"/>
      <c r="AW68" s="1658"/>
      <c r="AX68" s="1658"/>
      <c r="AY68" s="1658"/>
      <c r="AZ68" s="1658"/>
      <c r="BA68" s="1658"/>
      <c r="BB68" s="1223"/>
      <c r="BC68" s="1223"/>
      <c r="BD68" s="1223"/>
      <c r="BE68" s="1223"/>
      <c r="BF68" s="1223"/>
      <c r="BG68" s="1223"/>
      <c r="BH68" s="1223"/>
      <c r="BI68" s="1223"/>
      <c r="BJ68" s="1223"/>
      <c r="BK68" s="1223"/>
      <c r="BL68" s="1223"/>
      <c r="BM68" s="1223"/>
      <c r="BN68" s="1223"/>
      <c r="BO68" s="1223"/>
      <c r="BP68" s="1223"/>
      <c r="BQ68" s="1223"/>
      <c r="BR68" s="1223"/>
      <c r="BS68" s="1223"/>
      <c r="BT68" s="1223"/>
      <c r="BU68" s="1223"/>
      <c r="BV68" s="1223"/>
      <c r="BW68" s="1223"/>
      <c r="BX68" s="1223"/>
      <c r="BY68" s="1223"/>
      <c r="BZ68" s="1223"/>
      <c r="CA68" s="1223"/>
      <c r="CB68" s="1223"/>
      <c r="CC68" s="1223"/>
      <c r="CD68" s="1223"/>
      <c r="CE68" s="1223"/>
      <c r="CF68" s="1223"/>
      <c r="CG68" s="1223"/>
      <c r="CH68" s="1223"/>
      <c r="CI68" s="1223"/>
      <c r="CJ68" s="1223"/>
      <c r="CK68" s="1223"/>
      <c r="CL68" s="1223"/>
      <c r="CM68" s="1222"/>
      <c r="CN68" s="1222"/>
      <c r="CO68" s="1228"/>
      <c r="CP68" s="1243"/>
    </row>
    <row r="69" spans="8:101" ht="15" customHeight="1" x14ac:dyDescent="0.25">
      <c r="H69" s="1221"/>
      <c r="I69" s="1221"/>
      <c r="J69" s="1221"/>
      <c r="Q69" s="1243"/>
      <c r="R69" s="1243"/>
      <c r="S69" s="1243"/>
      <c r="T69" s="1243"/>
      <c r="U69" s="1243"/>
      <c r="V69" s="1243"/>
      <c r="W69" s="1228"/>
      <c r="X69" s="1228"/>
      <c r="Y69" s="1228"/>
      <c r="Z69" s="1228"/>
      <c r="AA69" s="1228"/>
      <c r="AB69" s="1228"/>
      <c r="AC69" s="1228"/>
      <c r="AD69" s="1228"/>
      <c r="AE69" s="1241"/>
      <c r="AF69" s="1241"/>
      <c r="AG69" s="1241"/>
      <c r="AH69" s="1241"/>
      <c r="AI69" s="1223"/>
      <c r="AJ69" s="1223"/>
      <c r="AK69" s="1223"/>
      <c r="AL69" s="1223"/>
      <c r="AM69" s="1223"/>
      <c r="AN69" s="1223"/>
      <c r="AO69" s="1223"/>
      <c r="AP69" s="1223"/>
      <c r="AQ69" s="1223"/>
      <c r="AR69" s="1223"/>
      <c r="AS69" s="1223"/>
      <c r="AT69" s="1223"/>
      <c r="AU69" s="1223"/>
      <c r="AV69" s="1223"/>
      <c r="AW69" s="1223"/>
      <c r="AX69" s="1223"/>
      <c r="AY69" s="1223"/>
      <c r="AZ69" s="1223"/>
      <c r="BA69" s="1223"/>
      <c r="BB69" s="1223"/>
      <c r="BC69" s="1223"/>
      <c r="BD69" s="1223"/>
      <c r="BE69" s="1223"/>
      <c r="BF69" s="1223"/>
      <c r="BG69" s="1223"/>
      <c r="BH69" s="1223"/>
      <c r="BI69" s="1223"/>
      <c r="BJ69" s="1223"/>
      <c r="BK69" s="1223"/>
      <c r="BL69" s="1223"/>
      <c r="BM69" s="1223"/>
      <c r="BN69" s="1223"/>
      <c r="BO69" s="1223"/>
      <c r="BP69" s="1223"/>
      <c r="BQ69" s="1223"/>
      <c r="BR69" s="1223"/>
      <c r="BS69" s="1223"/>
      <c r="BT69" s="1223"/>
      <c r="BU69" s="1223"/>
      <c r="BV69" s="1223"/>
      <c r="BW69" s="1223"/>
      <c r="BX69" s="1223"/>
      <c r="BY69" s="1223"/>
      <c r="BZ69" s="1223"/>
      <c r="CA69" s="1223"/>
      <c r="CB69" s="1223"/>
      <c r="CC69" s="1223"/>
      <c r="CD69" s="1223"/>
      <c r="CE69" s="1223"/>
      <c r="CF69" s="1223"/>
      <c r="CG69" s="1223"/>
      <c r="CH69" s="1223"/>
      <c r="CI69" s="1223"/>
      <c r="CJ69" s="1223"/>
      <c r="CK69" s="1223"/>
      <c r="CL69" s="1223"/>
      <c r="CM69" s="1222"/>
      <c r="CN69" s="1222"/>
      <c r="CO69" s="1228"/>
      <c r="CP69" s="1243"/>
    </row>
    <row r="70" spans="8:101" ht="15" customHeight="1" x14ac:dyDescent="0.25">
      <c r="H70" s="1221"/>
      <c r="I70" s="1221"/>
      <c r="J70" s="1221"/>
      <c r="Q70" s="1243"/>
      <c r="R70" s="1243"/>
      <c r="S70" s="1243"/>
      <c r="T70" s="1243"/>
      <c r="U70" s="1243"/>
      <c r="V70" s="1243"/>
      <c r="W70" s="1228"/>
      <c r="X70" s="1228"/>
      <c r="Y70" s="1228"/>
      <c r="Z70" s="1654" t="s">
        <v>1182</v>
      </c>
      <c r="AA70" s="1654"/>
      <c r="AB70" s="1654"/>
      <c r="AC70" s="1654"/>
      <c r="AD70" s="1654"/>
      <c r="AE70" s="1654"/>
      <c r="AF70" s="1654"/>
      <c r="AG70" s="1654"/>
      <c r="AH70" s="1654"/>
      <c r="AI70" s="1654"/>
      <c r="AJ70" s="1223"/>
      <c r="AK70" s="1223"/>
      <c r="AL70" s="1655"/>
      <c r="AM70" s="1655"/>
      <c r="AN70" s="1655"/>
      <c r="AO70" s="1655"/>
      <c r="AP70" s="1655"/>
      <c r="AQ70" s="1655"/>
      <c r="AR70" s="1655"/>
      <c r="AS70" s="1655"/>
      <c r="AT70" s="1655"/>
      <c r="AU70" s="1655"/>
      <c r="AV70" s="1655"/>
      <c r="AW70" s="1655"/>
      <c r="AX70" s="1655"/>
      <c r="AY70" s="1655"/>
      <c r="AZ70" s="1655"/>
      <c r="BA70" s="1655"/>
      <c r="BB70" s="1655"/>
      <c r="BC70" s="1655"/>
      <c r="BD70" s="1655"/>
      <c r="BE70" s="1655"/>
      <c r="BF70" s="1655"/>
      <c r="BG70" s="1655"/>
      <c r="BH70" s="1655"/>
      <c r="BI70" s="1655"/>
      <c r="BJ70" s="1655"/>
      <c r="BK70" s="1655"/>
      <c r="BL70" s="1655"/>
      <c r="BM70" s="1655"/>
      <c r="BN70" s="1655"/>
      <c r="BO70" s="1655"/>
      <c r="BP70" s="1655"/>
      <c r="BQ70" s="1655"/>
      <c r="BR70" s="1655"/>
      <c r="BS70" s="1655"/>
      <c r="BT70" s="1655"/>
      <c r="BU70" s="1655"/>
      <c r="BV70" s="1655"/>
      <c r="BW70" s="1655"/>
      <c r="BX70" s="1655"/>
      <c r="BY70" s="1655"/>
      <c r="BZ70" s="1655"/>
      <c r="CA70" s="1655"/>
      <c r="CB70" s="1655"/>
      <c r="CC70" s="1655"/>
      <c r="CD70" s="1655"/>
      <c r="CE70" s="1223"/>
      <c r="CF70" s="1223"/>
      <c r="CG70" s="1223"/>
      <c r="CH70" s="1223"/>
      <c r="CI70" s="1223"/>
      <c r="CJ70" s="1223"/>
      <c r="CK70" s="1223"/>
      <c r="CL70" s="1223"/>
      <c r="CM70" s="1222"/>
      <c r="CN70" s="1222"/>
      <c r="CO70" s="1228"/>
      <c r="CP70" s="1243"/>
    </row>
    <row r="71" spans="8:101" ht="15" customHeight="1" x14ac:dyDescent="0.25">
      <c r="H71" s="1221"/>
      <c r="I71" s="1221"/>
      <c r="J71" s="1221"/>
      <c r="Q71" s="1243"/>
      <c r="R71" s="1243"/>
      <c r="S71" s="1243"/>
      <c r="T71" s="1243"/>
      <c r="U71" s="1243"/>
      <c r="V71" s="1243"/>
      <c r="W71" s="1228"/>
      <c r="X71" s="1228"/>
      <c r="Y71" s="1228"/>
      <c r="Z71" s="1654"/>
      <c r="AA71" s="1654"/>
      <c r="AB71" s="1654"/>
      <c r="AC71" s="1654"/>
      <c r="AD71" s="1654"/>
      <c r="AE71" s="1654"/>
      <c r="AF71" s="1654"/>
      <c r="AG71" s="1654"/>
      <c r="AH71" s="1654"/>
      <c r="AI71" s="1654"/>
      <c r="AJ71" s="1223"/>
      <c r="AK71" s="1223"/>
      <c r="AL71" s="1655"/>
      <c r="AM71" s="1655"/>
      <c r="AN71" s="1655"/>
      <c r="AO71" s="1655"/>
      <c r="AP71" s="1655"/>
      <c r="AQ71" s="1655"/>
      <c r="AR71" s="1655"/>
      <c r="AS71" s="1655"/>
      <c r="AT71" s="1655"/>
      <c r="AU71" s="1655"/>
      <c r="AV71" s="1655"/>
      <c r="AW71" s="1655"/>
      <c r="AX71" s="1655"/>
      <c r="AY71" s="1655"/>
      <c r="AZ71" s="1655"/>
      <c r="BA71" s="1655"/>
      <c r="BB71" s="1655"/>
      <c r="BC71" s="1655"/>
      <c r="BD71" s="1655"/>
      <c r="BE71" s="1655"/>
      <c r="BF71" s="1655"/>
      <c r="BG71" s="1655"/>
      <c r="BH71" s="1655"/>
      <c r="BI71" s="1655"/>
      <c r="BJ71" s="1655"/>
      <c r="BK71" s="1655"/>
      <c r="BL71" s="1655"/>
      <c r="BM71" s="1655"/>
      <c r="BN71" s="1655"/>
      <c r="BO71" s="1655"/>
      <c r="BP71" s="1655"/>
      <c r="BQ71" s="1655"/>
      <c r="BR71" s="1655"/>
      <c r="BS71" s="1655"/>
      <c r="BT71" s="1655"/>
      <c r="BU71" s="1655"/>
      <c r="BV71" s="1655"/>
      <c r="BW71" s="1655"/>
      <c r="BX71" s="1655"/>
      <c r="BY71" s="1655"/>
      <c r="BZ71" s="1655"/>
      <c r="CA71" s="1655"/>
      <c r="CB71" s="1655"/>
      <c r="CC71" s="1655"/>
      <c r="CD71" s="1655"/>
      <c r="CE71" s="1223"/>
      <c r="CF71" s="1223"/>
      <c r="CG71" s="1223"/>
      <c r="CH71" s="1223"/>
      <c r="CI71" s="1223"/>
      <c r="CJ71" s="1223"/>
      <c r="CK71" s="1223"/>
      <c r="CL71" s="1223"/>
      <c r="CM71" s="1222"/>
      <c r="CN71" s="1222"/>
      <c r="CO71" s="1228"/>
      <c r="CP71" s="1243"/>
    </row>
    <row r="72" spans="8:101" ht="15" customHeight="1" x14ac:dyDescent="0.25">
      <c r="H72" s="1221"/>
      <c r="I72" s="1221"/>
      <c r="J72" s="1221"/>
      <c r="Q72" s="1243"/>
      <c r="R72" s="1243"/>
      <c r="S72" s="1243"/>
      <c r="T72" s="1243"/>
      <c r="U72" s="1243"/>
      <c r="V72" s="1243"/>
      <c r="W72" s="1228"/>
      <c r="X72" s="1228"/>
      <c r="Y72" s="1228"/>
      <c r="Z72" s="1654"/>
      <c r="AA72" s="1654"/>
      <c r="AB72" s="1654"/>
      <c r="AC72" s="1654"/>
      <c r="AD72" s="1654"/>
      <c r="AE72" s="1654"/>
      <c r="AF72" s="1654"/>
      <c r="AG72" s="1654"/>
      <c r="AH72" s="1654"/>
      <c r="AI72" s="1654"/>
      <c r="AJ72" s="1223"/>
      <c r="AK72" s="1223"/>
      <c r="AL72" s="1655"/>
      <c r="AM72" s="1655"/>
      <c r="AN72" s="1655"/>
      <c r="AO72" s="1655"/>
      <c r="AP72" s="1655"/>
      <c r="AQ72" s="1655"/>
      <c r="AR72" s="1655"/>
      <c r="AS72" s="1655"/>
      <c r="AT72" s="1655"/>
      <c r="AU72" s="1655"/>
      <c r="AV72" s="1655"/>
      <c r="AW72" s="1655"/>
      <c r="AX72" s="1655"/>
      <c r="AY72" s="1655"/>
      <c r="AZ72" s="1655"/>
      <c r="BA72" s="1655"/>
      <c r="BB72" s="1655"/>
      <c r="BC72" s="1655"/>
      <c r="BD72" s="1655"/>
      <c r="BE72" s="1655"/>
      <c r="BF72" s="1655"/>
      <c r="BG72" s="1655"/>
      <c r="BH72" s="1655"/>
      <c r="BI72" s="1655"/>
      <c r="BJ72" s="1655"/>
      <c r="BK72" s="1655"/>
      <c r="BL72" s="1655"/>
      <c r="BM72" s="1655"/>
      <c r="BN72" s="1655"/>
      <c r="BO72" s="1655"/>
      <c r="BP72" s="1655"/>
      <c r="BQ72" s="1655"/>
      <c r="BR72" s="1655"/>
      <c r="BS72" s="1655"/>
      <c r="BT72" s="1655"/>
      <c r="BU72" s="1655"/>
      <c r="BV72" s="1655"/>
      <c r="BW72" s="1655"/>
      <c r="BX72" s="1655"/>
      <c r="BY72" s="1655"/>
      <c r="BZ72" s="1655"/>
      <c r="CA72" s="1655"/>
      <c r="CB72" s="1655"/>
      <c r="CC72" s="1655"/>
      <c r="CD72" s="1655"/>
      <c r="CE72" s="1223"/>
      <c r="CF72" s="1223"/>
      <c r="CG72" s="1223"/>
      <c r="CH72" s="1223"/>
      <c r="CI72" s="1223"/>
      <c r="CJ72" s="1223"/>
      <c r="CK72" s="1223"/>
      <c r="CL72" s="1223"/>
      <c r="CM72" s="1222"/>
      <c r="CN72" s="1222"/>
      <c r="CO72" s="1228"/>
      <c r="CP72" s="1243"/>
    </row>
    <row r="73" spans="8:101" ht="15" customHeight="1" x14ac:dyDescent="0.25">
      <c r="H73" s="1221"/>
      <c r="I73" s="1221"/>
      <c r="J73" s="1221"/>
      <c r="Q73" s="1243"/>
      <c r="R73" s="1243"/>
      <c r="S73" s="1243"/>
      <c r="T73" s="1243"/>
      <c r="U73" s="1243"/>
      <c r="V73" s="1243"/>
      <c r="W73" s="1228"/>
      <c r="X73" s="1228"/>
      <c r="Y73" s="1228"/>
      <c r="Z73" s="1228"/>
      <c r="AA73" s="1228"/>
      <c r="AB73" s="1228"/>
      <c r="AC73" s="1228"/>
      <c r="AD73" s="1228"/>
      <c r="AE73" s="1241"/>
      <c r="AF73" s="1241"/>
      <c r="AG73" s="1241"/>
      <c r="AH73" s="1241"/>
      <c r="AI73" s="1223"/>
      <c r="AJ73" s="1223"/>
      <c r="AK73" s="1223"/>
      <c r="AL73" s="1223"/>
      <c r="AM73" s="1223"/>
      <c r="AN73" s="1223"/>
      <c r="AO73" s="1223"/>
      <c r="AP73" s="1223"/>
      <c r="AQ73" s="1223"/>
      <c r="AR73" s="1223"/>
      <c r="AS73" s="1223"/>
      <c r="AT73" s="1223"/>
      <c r="AU73" s="1223"/>
      <c r="AV73" s="1223"/>
      <c r="AW73" s="1223"/>
      <c r="AX73" s="1223"/>
      <c r="AY73" s="1223"/>
      <c r="AZ73" s="1223"/>
      <c r="BA73" s="1223"/>
      <c r="BB73" s="1223"/>
      <c r="BC73" s="1223"/>
      <c r="BD73" s="1223"/>
      <c r="BE73" s="1223"/>
      <c r="BF73" s="1223"/>
      <c r="BG73" s="1223"/>
      <c r="BH73" s="1223"/>
      <c r="BI73" s="1223"/>
      <c r="BJ73" s="1223"/>
      <c r="BK73" s="1223"/>
      <c r="BL73" s="1223"/>
      <c r="BM73" s="1223"/>
      <c r="BN73" s="1223"/>
      <c r="BO73" s="1223"/>
      <c r="BP73" s="1223"/>
      <c r="BQ73" s="1223"/>
      <c r="BR73" s="1223"/>
      <c r="BS73" s="1223"/>
      <c r="BT73" s="1223"/>
      <c r="BU73" s="1223"/>
      <c r="BV73" s="1223"/>
      <c r="BW73" s="1223"/>
      <c r="BX73" s="1223"/>
      <c r="BY73" s="1223"/>
      <c r="BZ73" s="1223"/>
      <c r="CA73" s="1223"/>
      <c r="CB73" s="1223"/>
      <c r="CC73" s="1223"/>
      <c r="CD73" s="1223"/>
      <c r="CE73" s="1223"/>
      <c r="CF73" s="1223"/>
      <c r="CG73" s="1223"/>
      <c r="CH73" s="1223"/>
      <c r="CI73" s="1223"/>
      <c r="CJ73" s="1223"/>
      <c r="CK73" s="1223"/>
      <c r="CL73" s="1223"/>
      <c r="CM73" s="1222"/>
      <c r="CN73" s="1222"/>
      <c r="CO73" s="1228"/>
      <c r="CP73" s="1243"/>
    </row>
    <row r="74" spans="8:101" ht="15.75" customHeight="1" x14ac:dyDescent="0.25">
      <c r="H74" s="1221"/>
      <c r="I74" s="1221"/>
      <c r="J74" s="1221"/>
      <c r="Q74" s="1243"/>
      <c r="R74" s="1243"/>
      <c r="S74" s="1243"/>
      <c r="T74" s="1243"/>
      <c r="U74" s="1243"/>
      <c r="V74" s="1243"/>
      <c r="W74" s="1228"/>
      <c r="X74" s="1228"/>
      <c r="Y74" s="1228"/>
      <c r="Z74" s="1649" t="s">
        <v>460</v>
      </c>
      <c r="AA74" s="1649"/>
      <c r="AB74" s="1649"/>
      <c r="AC74" s="1649"/>
      <c r="AD74" s="1649"/>
      <c r="AE74" s="1649"/>
      <c r="AF74" s="1649"/>
      <c r="AG74" s="1649"/>
      <c r="AH74" s="1649"/>
      <c r="AI74" s="1649"/>
      <c r="AJ74" s="1223"/>
      <c r="AK74" s="1223"/>
      <c r="AL74" s="1656" t="s">
        <v>1353</v>
      </c>
      <c r="AM74" s="1657"/>
      <c r="AN74" s="1657"/>
      <c r="AO74" s="1657"/>
      <c r="AP74" s="1657"/>
      <c r="AQ74" s="1657"/>
      <c r="AR74" s="1657"/>
      <c r="AS74" s="1657"/>
      <c r="AT74" s="1657"/>
      <c r="AU74" s="1657"/>
      <c r="AV74" s="1657"/>
      <c r="AW74" s="1657"/>
      <c r="AX74" s="1657"/>
      <c r="AY74" s="1657"/>
      <c r="AZ74" s="1657"/>
      <c r="BA74" s="1657"/>
      <c r="BB74" s="1223"/>
      <c r="BC74" s="1223"/>
      <c r="BD74" s="1223"/>
      <c r="BE74" s="1223"/>
      <c r="BF74" s="1223"/>
      <c r="BG74" s="1223"/>
      <c r="BH74" s="1223"/>
      <c r="BI74" s="1223"/>
      <c r="BJ74" s="1223"/>
      <c r="BK74" s="1223"/>
      <c r="BL74" s="1223"/>
      <c r="BM74" s="1223"/>
      <c r="BN74" s="1223"/>
      <c r="BO74" s="1223"/>
      <c r="BP74" s="1223"/>
      <c r="BQ74" s="1223"/>
      <c r="BR74" s="1223"/>
      <c r="BS74" s="1223"/>
      <c r="BT74" s="1223"/>
      <c r="BU74" s="1223"/>
      <c r="BV74" s="1223"/>
      <c r="BW74" s="1223"/>
      <c r="BX74" s="1223"/>
      <c r="BY74" s="1223"/>
      <c r="BZ74" s="1223"/>
      <c r="CA74" s="1223"/>
      <c r="CB74" s="1223"/>
      <c r="CC74" s="1223"/>
      <c r="CD74" s="1223"/>
      <c r="CE74" s="1223"/>
      <c r="CF74" s="1223"/>
      <c r="CG74" s="1223"/>
      <c r="CH74" s="1223"/>
      <c r="CI74" s="1223"/>
      <c r="CJ74" s="1223"/>
      <c r="CK74" s="1223"/>
      <c r="CL74" s="1223"/>
      <c r="CM74" s="1222"/>
      <c r="CN74" s="1222"/>
      <c r="CO74" s="1228"/>
      <c r="CP74" s="1243"/>
      <c r="CT74"/>
      <c r="CU74"/>
      <c r="CV74"/>
      <c r="CW74"/>
    </row>
    <row r="75" spans="8:101" x14ac:dyDescent="0.25">
      <c r="H75" s="1221"/>
      <c r="I75" s="1221"/>
      <c r="J75" s="1221"/>
      <c r="Q75" s="1228"/>
      <c r="R75" s="1228"/>
      <c r="S75" s="1228"/>
      <c r="T75" s="1228"/>
      <c r="U75" s="1228"/>
      <c r="V75" s="1228"/>
      <c r="W75" s="1228"/>
      <c r="X75" s="1228"/>
      <c r="Y75" s="1228"/>
      <c r="Z75" s="1228"/>
      <c r="AA75" s="1228"/>
      <c r="AB75" s="1228"/>
      <c r="AC75" s="1228"/>
      <c r="AD75" s="1228"/>
      <c r="AE75" s="1241"/>
      <c r="AF75" s="1241"/>
      <c r="AG75" s="1241"/>
      <c r="AH75" s="1241"/>
      <c r="AI75" s="1223"/>
      <c r="AJ75" s="1223"/>
      <c r="AK75" s="1223"/>
      <c r="AL75" s="1223"/>
      <c r="AM75" s="1223"/>
      <c r="AN75" s="1223"/>
      <c r="AO75" s="1223"/>
      <c r="AP75" s="1223"/>
      <c r="AQ75" s="1223"/>
      <c r="AR75" s="1223"/>
      <c r="AS75" s="1223"/>
      <c r="AT75" s="1223"/>
      <c r="AU75" s="1223"/>
      <c r="AV75" s="1223"/>
      <c r="AW75" s="1223"/>
      <c r="AX75" s="1223"/>
      <c r="AY75" s="1223"/>
      <c r="AZ75" s="1223"/>
      <c r="BA75" s="1223"/>
      <c r="BB75" s="1223"/>
      <c r="BC75" s="1223"/>
      <c r="BD75" s="1223"/>
      <c r="BE75" s="1223"/>
      <c r="BF75" s="1223"/>
      <c r="BG75" s="1223"/>
      <c r="BH75" s="1223"/>
      <c r="BI75" s="1223"/>
      <c r="BJ75" s="1223"/>
      <c r="BK75" s="1223"/>
      <c r="BL75" s="1223"/>
      <c r="BM75" s="1223"/>
      <c r="BN75" s="1223"/>
      <c r="BO75" s="1223"/>
      <c r="BP75" s="1223"/>
      <c r="BQ75" s="1223"/>
      <c r="BR75" s="1223"/>
      <c r="BS75" s="1223"/>
      <c r="BT75" s="1223"/>
      <c r="BU75" s="1223"/>
      <c r="BV75" s="1223"/>
      <c r="BW75" s="1223"/>
      <c r="BX75" s="1223"/>
      <c r="BY75" s="1223"/>
      <c r="BZ75" s="1223"/>
      <c r="CA75" s="1223"/>
      <c r="CB75" s="1223"/>
      <c r="CC75" s="1223"/>
      <c r="CD75" s="1223"/>
      <c r="CE75" s="1223"/>
      <c r="CF75" s="1223"/>
      <c r="CG75" s="1223"/>
      <c r="CH75" s="1223"/>
      <c r="CI75" s="1223"/>
      <c r="CJ75" s="1223"/>
      <c r="CK75" s="1223"/>
      <c r="CL75" s="1223"/>
      <c r="CM75" s="1222"/>
      <c r="CN75" s="1222"/>
      <c r="CO75" s="1228"/>
      <c r="CP75" s="1228"/>
      <c r="CT75"/>
      <c r="CU75"/>
      <c r="CV75"/>
      <c r="CW75"/>
    </row>
    <row r="76" spans="8:101" x14ac:dyDescent="0.25">
      <c r="H76" s="1221"/>
      <c r="I76" s="1221"/>
      <c r="J76" s="1221"/>
      <c r="Q76" s="1228"/>
      <c r="R76" s="1228"/>
      <c r="S76" s="1228"/>
      <c r="T76" s="1228"/>
      <c r="U76" s="1228"/>
      <c r="V76" s="1228"/>
      <c r="W76" s="1228"/>
      <c r="X76" s="1228"/>
      <c r="Y76" s="1228"/>
      <c r="Z76" s="1228"/>
      <c r="AA76" s="1228"/>
      <c r="AB76" s="1228"/>
      <c r="AC76" s="1228"/>
      <c r="AD76" s="1228"/>
      <c r="AE76" s="1241"/>
      <c r="AF76" s="1241"/>
      <c r="AG76" s="1241"/>
      <c r="AH76" s="1241"/>
      <c r="AI76" s="1223"/>
      <c r="AJ76" s="1223"/>
      <c r="AK76" s="1223"/>
      <c r="AL76" s="1223"/>
      <c r="AM76" s="1223"/>
      <c r="AN76" s="1223"/>
      <c r="AO76" s="1223"/>
      <c r="AP76" s="1223"/>
      <c r="AQ76" s="1223"/>
      <c r="AR76" s="1223"/>
      <c r="AS76" s="1223"/>
      <c r="AT76" s="1223"/>
      <c r="AU76" s="1223"/>
      <c r="AV76" s="1223"/>
      <c r="AW76" s="1223"/>
      <c r="AX76" s="1223"/>
      <c r="AY76" s="1223"/>
      <c r="AZ76" s="1223"/>
      <c r="BA76" s="1223"/>
      <c r="BB76" s="1223"/>
      <c r="BC76" s="1223"/>
      <c r="BD76" s="1223"/>
      <c r="BE76" s="1223"/>
      <c r="BF76" s="1223"/>
      <c r="BG76" s="1223"/>
      <c r="BH76" s="1223"/>
      <c r="BI76" s="1223"/>
      <c r="BJ76" s="1223"/>
      <c r="BK76" s="1223"/>
      <c r="BL76" s="1223"/>
      <c r="BM76" s="1223"/>
      <c r="BN76" s="1223"/>
      <c r="BO76" s="1223"/>
      <c r="BP76" s="1223"/>
      <c r="BQ76" s="1223"/>
      <c r="BR76" s="1223"/>
      <c r="BS76" s="1223"/>
      <c r="BT76" s="1223"/>
      <c r="BU76" s="1223"/>
      <c r="BV76" s="1223"/>
      <c r="BW76" s="1223"/>
      <c r="BX76" s="1223"/>
      <c r="BY76" s="1223"/>
      <c r="BZ76" s="1223"/>
      <c r="CA76" s="1223"/>
      <c r="CB76" s="1223"/>
      <c r="CC76" s="1223"/>
      <c r="CD76" s="1223"/>
      <c r="CE76" s="1223"/>
      <c r="CF76" s="1223"/>
      <c r="CG76" s="1223"/>
      <c r="CH76" s="1223"/>
      <c r="CI76" s="1223"/>
      <c r="CJ76" s="1223"/>
      <c r="CK76" s="1223"/>
      <c r="CL76" s="1223"/>
      <c r="CM76" s="1222"/>
      <c r="CN76" s="1222"/>
      <c r="CO76" s="1228"/>
      <c r="CP76" s="1228"/>
      <c r="CT76"/>
      <c r="CU76"/>
      <c r="CV76"/>
      <c r="CW76"/>
    </row>
    <row r="77" spans="8:101" ht="15.75" x14ac:dyDescent="0.25">
      <c r="H77" s="1197"/>
      <c r="I77" s="1197"/>
      <c r="J77" s="1197"/>
      <c r="Q77" s="1244"/>
      <c r="R77" s="1244"/>
      <c r="S77" s="1245"/>
      <c r="T77" s="1245"/>
      <c r="U77" s="1245"/>
      <c r="V77" s="1245"/>
      <c r="W77" s="1245"/>
      <c r="X77" s="1245"/>
      <c r="Y77" s="1245"/>
      <c r="Z77" s="1245"/>
      <c r="AA77" s="1245"/>
      <c r="AB77" s="1245"/>
      <c r="AC77" s="1245"/>
      <c r="AD77" s="1245"/>
      <c r="AE77" s="1245"/>
      <c r="AF77" s="1245"/>
      <c r="AG77" s="1245"/>
      <c r="AH77" s="1245"/>
      <c r="AI77" s="1198"/>
      <c r="AJ77" s="1198"/>
      <c r="AK77" s="1198"/>
      <c r="AL77" s="1198"/>
      <c r="AM77" s="1198"/>
      <c r="AN77" s="1198"/>
      <c r="AO77" s="1198"/>
      <c r="AP77" s="1198"/>
      <c r="AQ77" s="1198"/>
      <c r="AR77" s="1198"/>
      <c r="AS77" s="1198"/>
      <c r="AT77" s="1198"/>
      <c r="AU77" s="1198"/>
      <c r="AV77" s="1198"/>
      <c r="AW77" s="1198"/>
      <c r="AX77" s="1198"/>
      <c r="AY77" s="1198"/>
      <c r="AZ77" s="1198"/>
      <c r="BA77" s="1198"/>
      <c r="BB77" s="1198"/>
      <c r="BC77" s="1198"/>
      <c r="BD77" s="1198"/>
      <c r="BE77" s="1198"/>
      <c r="BF77" s="1198"/>
      <c r="BG77" s="1198"/>
      <c r="BH77" s="1198"/>
      <c r="BI77" s="1198"/>
      <c r="BJ77" s="1198"/>
      <c r="BK77" s="1198"/>
      <c r="BL77" s="1198"/>
      <c r="BM77" s="1198"/>
      <c r="BN77" s="1198"/>
      <c r="BO77" s="1198"/>
      <c r="BP77" s="1198"/>
      <c r="BQ77" s="1198"/>
      <c r="BR77" s="1198"/>
      <c r="BS77" s="1198"/>
      <c r="BT77" s="1198"/>
      <c r="BU77" s="1198"/>
      <c r="BV77" s="1198"/>
      <c r="BW77" s="1198"/>
      <c r="BX77" s="1198"/>
      <c r="BY77" s="1198"/>
      <c r="BZ77" s="1198"/>
      <c r="CA77" s="1198"/>
      <c r="CB77" s="1198"/>
      <c r="CC77" s="1198"/>
      <c r="CD77" s="1198"/>
      <c r="CE77" s="1198"/>
      <c r="CF77" s="1198"/>
      <c r="CG77" s="1198"/>
      <c r="CH77" s="1198"/>
      <c r="CI77" s="1198"/>
      <c r="CJ77" s="1198"/>
      <c r="CK77" s="1198"/>
      <c r="CL77" s="1198"/>
      <c r="CM77" s="1199"/>
      <c r="CN77" s="1199"/>
      <c r="CO77" s="1244"/>
      <c r="CP77" s="1244"/>
      <c r="CT77"/>
      <c r="CU77"/>
      <c r="CV77"/>
      <c r="CW77"/>
    </row>
    <row r="78" spans="8:101" x14ac:dyDescent="0.25">
      <c r="CT78"/>
      <c r="CU78"/>
      <c r="CV78"/>
      <c r="CW78"/>
    </row>
    <row r="79" spans="8:101" x14ac:dyDescent="0.25">
      <c r="CT79"/>
      <c r="CU79"/>
      <c r="CV79"/>
      <c r="CW79"/>
    </row>
    <row r="80" spans="8:101" x14ac:dyDescent="0.25">
      <c r="CT80"/>
      <c r="CU80"/>
      <c r="CV80"/>
      <c r="CW80"/>
    </row>
    <row r="81" spans="98:101" x14ac:dyDescent="0.25">
      <c r="CT81"/>
      <c r="CU81"/>
      <c r="CV81"/>
      <c r="CW81"/>
    </row>
    <row r="82" spans="98:101" x14ac:dyDescent="0.25">
      <c r="CT82"/>
      <c r="CU82"/>
      <c r="CV82"/>
      <c r="CW82"/>
    </row>
  </sheetData>
  <mergeCells count="102">
    <mergeCell ref="Z70:AI72"/>
    <mergeCell ref="AL70:CD72"/>
    <mergeCell ref="Z74:AI74"/>
    <mergeCell ref="AL74:BA74"/>
    <mergeCell ref="Z64:AI64"/>
    <mergeCell ref="AL64:BA64"/>
    <mergeCell ref="Z66:AI66"/>
    <mergeCell ref="AL66:BA66"/>
    <mergeCell ref="Z68:AI68"/>
    <mergeCell ref="AL68:BA68"/>
    <mergeCell ref="Z54:AI54"/>
    <mergeCell ref="AL54:AS54"/>
    <mergeCell ref="Z56:AI56"/>
    <mergeCell ref="AL56:AS56"/>
    <mergeCell ref="Z62:AI62"/>
    <mergeCell ref="AL62:BA62"/>
    <mergeCell ref="AL51:AS51"/>
    <mergeCell ref="AU51:BB51"/>
    <mergeCell ref="BD51:BK51"/>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AL47:AS47"/>
    <mergeCell ref="AU47:BB47"/>
    <mergeCell ref="BD47:BK47"/>
    <mergeCell ref="BM47:BT47"/>
    <mergeCell ref="BV47:CC47"/>
    <mergeCell ref="AL48:AS48"/>
    <mergeCell ref="AU48:BB48"/>
    <mergeCell ref="BD48:BK48"/>
    <mergeCell ref="BM48:BT48"/>
    <mergeCell ref="BV48:CC48"/>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V34:AJ34"/>
    <mergeCell ref="AL34:BG34"/>
    <mergeCell ref="BI34:BO34"/>
    <mergeCell ref="BQ34:CL34"/>
    <mergeCell ref="Z42:AI42"/>
    <mergeCell ref="AL42:AS42"/>
    <mergeCell ref="AU42:BB42"/>
    <mergeCell ref="BD42:BK42"/>
    <mergeCell ref="BM42:BT42"/>
    <mergeCell ref="BV42:CC42"/>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
    <cfRule type="expression" dxfId="32" priority="33">
      <formula>dms_FRCPlength_Num&lt;6</formula>
    </cfRule>
  </conditionalFormatting>
  <conditionalFormatting sqref="AU43">
    <cfRule type="expression" dxfId="31" priority="32">
      <formula>dms_FRCPlength_Num&lt;7</formula>
    </cfRule>
  </conditionalFormatting>
  <conditionalFormatting sqref="BD43">
    <cfRule type="expression" dxfId="30" priority="31">
      <formula>dms_FRCPlength_Num&lt;8</formula>
    </cfRule>
  </conditionalFormatting>
  <conditionalFormatting sqref="BV43">
    <cfRule type="expression" dxfId="29" priority="30">
      <formula>dms_FRCPlength_Num&lt;10</formula>
    </cfRule>
  </conditionalFormatting>
  <conditionalFormatting sqref="AL47">
    <cfRule type="expression" dxfId="28" priority="29">
      <formula>dms_CRCPlength_Num&lt;6</formula>
    </cfRule>
  </conditionalFormatting>
  <conditionalFormatting sqref="AL54:AS54">
    <cfRule type="expression" dxfId="27" priority="28" stopIfTrue="1">
      <formula>(INDEX(dms_Model_Span_List,MATCH(dms_Model,dms_Model_List))=1)</formula>
    </cfRule>
  </conditionalFormatting>
  <conditionalFormatting sqref="AL42:AS42">
    <cfRule type="expression" dxfId="26" priority="27" stopIfTrue="1">
      <formula>(INDEX(dms_Model_Span_List,MATCH(dms_Model,dms_Model_List))&gt;1)</formula>
    </cfRule>
  </conditionalFormatting>
  <conditionalFormatting sqref="AL68:BA68">
    <cfRule type="cellIs" dxfId="25" priority="26" operator="equal">
      <formula>"Confidential"</formula>
    </cfRule>
  </conditionalFormatting>
  <conditionalFormatting sqref="AL44">
    <cfRule type="expression" dxfId="24" priority="25">
      <formula>dms_FRCPlength_Num&lt;11</formula>
    </cfRule>
  </conditionalFormatting>
  <conditionalFormatting sqref="BM43">
    <cfRule type="expression" dxfId="23" priority="24">
      <formula>dms_FRCPlength_Num&lt;9</formula>
    </cfRule>
  </conditionalFormatting>
  <conditionalFormatting sqref="AU47">
    <cfRule type="expression" dxfId="22" priority="23">
      <formula>dms_CRCPlength_Num&lt;7</formula>
    </cfRule>
  </conditionalFormatting>
  <conditionalFormatting sqref="BD47">
    <cfRule type="expression" dxfId="21" priority="22">
      <formula>dms_CRCPlength_Num&lt;8</formula>
    </cfRule>
  </conditionalFormatting>
  <conditionalFormatting sqref="BM47">
    <cfRule type="expression" dxfId="20" priority="21">
      <formula>dms_CRCPlength_Num&lt;9</formula>
    </cfRule>
  </conditionalFormatting>
  <conditionalFormatting sqref="BV47">
    <cfRule type="expression" dxfId="19" priority="20">
      <formula>dms_CRCPlength_Num&lt;10</formula>
    </cfRule>
  </conditionalFormatting>
  <conditionalFormatting sqref="AL48">
    <cfRule type="expression" dxfId="18" priority="19">
      <formula>dms_CRCPlength_Num&lt;11</formula>
    </cfRule>
  </conditionalFormatting>
  <conditionalFormatting sqref="AU48">
    <cfRule type="expression" dxfId="17" priority="18">
      <formula>dms_CRCPlength_Num&lt;12</formula>
    </cfRule>
  </conditionalFormatting>
  <conditionalFormatting sqref="BD48">
    <cfRule type="expression" dxfId="16" priority="17">
      <formula>dms_CRCPlength_Num&lt;13</formula>
    </cfRule>
  </conditionalFormatting>
  <conditionalFormatting sqref="BM48">
    <cfRule type="expression" dxfId="15" priority="16">
      <formula>dms_CRCPlength_Num&lt;14</formula>
    </cfRule>
  </conditionalFormatting>
  <conditionalFormatting sqref="BV48">
    <cfRule type="expression" dxfId="14" priority="15">
      <formula>dms_CRCPlength_Num&lt;15</formula>
    </cfRule>
  </conditionalFormatting>
  <conditionalFormatting sqref="AU44">
    <cfRule type="expression" dxfId="13" priority="14">
      <formula>dms_FRCPlength_Num&lt;11</formula>
    </cfRule>
  </conditionalFormatting>
  <conditionalFormatting sqref="BD44">
    <cfRule type="expression" dxfId="12" priority="13">
      <formula>dms_FRCPlength_Num&lt;11</formula>
    </cfRule>
  </conditionalFormatting>
  <conditionalFormatting sqref="BM44">
    <cfRule type="expression" dxfId="11" priority="12">
      <formula>dms_FRCPlength_Num&lt;11</formula>
    </cfRule>
  </conditionalFormatting>
  <conditionalFormatting sqref="BV44">
    <cfRule type="expression" dxfId="10" priority="11">
      <formula>dms_FRCPlength_Num&lt;11</formula>
    </cfRule>
  </conditionalFormatting>
  <conditionalFormatting sqref="AL51">
    <cfRule type="expression" dxfId="9" priority="10">
      <formula>dms_PRCPlength_Num&lt;6</formula>
    </cfRule>
  </conditionalFormatting>
  <conditionalFormatting sqref="AL52">
    <cfRule type="expression" dxfId="8" priority="9">
      <formula>dms_PRCPlength_Num&lt;11</formula>
    </cfRule>
  </conditionalFormatting>
  <conditionalFormatting sqref="AU51">
    <cfRule type="expression" dxfId="7" priority="8">
      <formula>dms_PRCPlength_Num&lt;7</formula>
    </cfRule>
  </conditionalFormatting>
  <conditionalFormatting sqref="BD51">
    <cfRule type="expression" dxfId="6" priority="7">
      <formula>dms_PRCPlength_Num&lt;8</formula>
    </cfRule>
  </conditionalFormatting>
  <conditionalFormatting sqref="BM51">
    <cfRule type="expression" dxfId="5" priority="6">
      <formula>dms_PRCPlength_Num&lt;9</formula>
    </cfRule>
  </conditionalFormatting>
  <conditionalFormatting sqref="BV51">
    <cfRule type="expression" dxfId="4" priority="5">
      <formula>dms_PRCPlength_Num&lt;10</formula>
    </cfRule>
  </conditionalFormatting>
  <conditionalFormatting sqref="AU52">
    <cfRule type="expression" dxfId="3" priority="4">
      <formula>dms_PRCPlength_Num&lt;12</formula>
    </cfRule>
  </conditionalFormatting>
  <conditionalFormatting sqref="BD52">
    <cfRule type="expression" dxfId="2" priority="3">
      <formula>dms_PRCPlength_Num&lt;13</formula>
    </cfRule>
  </conditionalFormatting>
  <conditionalFormatting sqref="BM52">
    <cfRule type="expression" dxfId="1" priority="2">
      <formula>dms_PRCPlength_Num&lt;14</formula>
    </cfRule>
  </conditionalFormatting>
  <conditionalFormatting sqref="BV52">
    <cfRule type="expression" dxfId="0" priority="1">
      <formula>dms_PRCPlength_Num&lt;15</formula>
    </cfRule>
  </conditionalFormatting>
  <dataValidations count="6">
    <dataValidation type="list" allowBlank="1" showInputMessage="1" showErrorMessage="1" sqref="AL42:AS42 AL54:AS54 AL56:AS56">
      <formula1>INDIRECT(dms_RPT)</formula1>
    </dataValidation>
    <dataValidation allowBlank="1" showInputMessage="1" showErrorMessage="1" promptTitle="Submission Date" prompt="-- enter date file submitted to AER -- " sqref="AL74:BA74"/>
    <dataValidation type="list" allowBlank="1" showInputMessage="1" showErrorMessage="1" sqref="AL68:BA68">
      <formula1>dms_Confid_status_List</formula1>
    </dataValidation>
    <dataValidation type="list" allowBlank="1" showInputMessage="1" showErrorMessage="1" sqref="AL66:BA66">
      <formula1>dms_DataQuality_List</formula1>
    </dataValidation>
    <dataValidation type="list" allowBlank="1" showInputMessage="1" showErrorMessage="1" sqref="AL64:BA64">
      <formula1>dms_SourceList</formula1>
    </dataValidation>
    <dataValidation type="list" operator="lessThanOrEqual" showInputMessage="1" showErrorMessage="1" prompt="Please use drop down to select correct business name. ABN will auto populate." sqref="AL16:AN16">
      <formula1>dms_TradingName_List</formula1>
    </dataValidation>
  </dataValidations>
  <pageMargins left="0.7" right="0.7" top="0.75" bottom="0.75" header="0.3" footer="0.3"/>
  <pageSetup orientation="portrait" r:id="rId1"/>
  <customProperties>
    <customPr name="_pios_id" r:id="rId2"/>
    <customPr name="EpmWorksheetKeyString_GUID" r:id="rId3"/>
  </customPropertie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249977111117893"/>
  </sheetPr>
  <dimension ref="A1:K192"/>
  <sheetViews>
    <sheetView showGridLines="0" zoomScale="75" zoomScaleNormal="75" workbookViewId="0">
      <selection activeCell="A2" sqref="A2"/>
    </sheetView>
  </sheetViews>
  <sheetFormatPr defaultColWidth="9.140625" defaultRowHeight="15" outlineLevelRow="2" x14ac:dyDescent="0.25"/>
  <cols>
    <col min="1" max="1" width="24" style="401" customWidth="1"/>
    <col min="2" max="2" width="48.140625" style="401" customWidth="1"/>
    <col min="3" max="8" width="20.7109375" style="401" customWidth="1"/>
    <col min="9" max="9" width="20.7109375" style="1294" customWidth="1"/>
    <col min="10" max="11" width="20.7109375" style="401" customWidth="1"/>
    <col min="12" max="16384" width="9.140625" style="401"/>
  </cols>
  <sheetData>
    <row r="1" spans="1:11" ht="30" customHeight="1" x14ac:dyDescent="0.25">
      <c r="B1" s="103" t="str">
        <f>IF(dms_MultiYear_ResponseFlag="Yes","REGULATORY REPORTING STATEMENT - HISTORICAL INFORMATION",INDEX(dms_Worksheet_List,MATCH(dms_Model,dms_Model_List)))</f>
        <v>REGULATORY REPORTING STATEMENT - HISTORICAL INFORMATION</v>
      </c>
      <c r="C1" s="76"/>
      <c r="D1" s="76"/>
      <c r="E1" s="76"/>
      <c r="F1" s="76"/>
      <c r="G1" s="76"/>
      <c r="H1" s="76"/>
      <c r="I1" s="76"/>
      <c r="J1" s="76"/>
      <c r="K1" s="76"/>
    </row>
    <row r="2" spans="1:11" ht="30" customHeight="1" x14ac:dyDescent="0.25">
      <c r="B2" s="103" t="str">
        <f>INDEX(dms_TradingNameFull_List,MATCH(dms_TradingName,dms_TradingName_List))</f>
        <v>AusNet Gas Services</v>
      </c>
      <c r="C2" s="76"/>
      <c r="D2" s="76"/>
      <c r="E2" s="76"/>
      <c r="F2" s="76"/>
      <c r="G2" s="76"/>
      <c r="H2" s="76"/>
      <c r="I2" s="76"/>
      <c r="J2" s="76"/>
      <c r="K2" s="76"/>
    </row>
    <row r="3" spans="1:11" ht="30" customHeight="1" x14ac:dyDescent="0.25">
      <c r="B3" s="103" t="str">
        <f>CONCATENATE(CRY," to ", FRY)</f>
        <v>2011 to 2019</v>
      </c>
      <c r="C3" s="76"/>
      <c r="D3" s="76"/>
      <c r="E3" s="76"/>
      <c r="F3" s="76"/>
      <c r="G3" s="76"/>
      <c r="H3" s="76"/>
      <c r="I3" s="76"/>
      <c r="J3" s="76"/>
      <c r="K3" s="76"/>
    </row>
    <row r="4" spans="1:11" ht="30" customHeight="1" x14ac:dyDescent="0.25">
      <c r="B4" s="83" t="s">
        <v>698</v>
      </c>
      <c r="C4" s="323"/>
      <c r="D4" s="323"/>
      <c r="E4" s="323"/>
      <c r="F4" s="323"/>
      <c r="G4" s="323"/>
      <c r="H4" s="323"/>
      <c r="I4" s="323"/>
      <c r="J4" s="323"/>
      <c r="K4" s="323"/>
    </row>
    <row r="6" spans="1:11" ht="15.75" thickBot="1" x14ac:dyDescent="0.3"/>
    <row r="7" spans="1:11" s="436" customFormat="1" ht="24.75" customHeight="1" thickBot="1" x14ac:dyDescent="0.25">
      <c r="A7" s="435"/>
      <c r="B7" s="84" t="s">
        <v>792</v>
      </c>
      <c r="C7" s="84"/>
      <c r="D7" s="84"/>
      <c r="E7" s="84"/>
      <c r="F7" s="84"/>
      <c r="G7" s="84"/>
      <c r="H7" s="84"/>
      <c r="I7" s="84"/>
      <c r="J7" s="84"/>
      <c r="K7" s="84"/>
    </row>
    <row r="8" spans="1:11" s="436" customFormat="1" ht="24.75" customHeight="1" outlineLevel="1" thickBot="1" x14ac:dyDescent="0.25">
      <c r="A8" s="435"/>
      <c r="B8" s="308" t="s">
        <v>801</v>
      </c>
      <c r="C8" s="309"/>
      <c r="D8" s="309"/>
      <c r="E8" s="309"/>
      <c r="F8" s="309"/>
      <c r="G8" s="309"/>
      <c r="H8" s="309"/>
      <c r="I8" s="309"/>
      <c r="J8" s="309"/>
      <c r="K8" s="310"/>
    </row>
    <row r="9" spans="1:11" s="375" customFormat="1" ht="17.25" customHeight="1" outlineLevel="2" x14ac:dyDescent="0.25">
      <c r="A9" s="374"/>
      <c r="B9" s="403"/>
      <c r="C9" s="1659" t="s">
        <v>637</v>
      </c>
      <c r="D9" s="1659"/>
      <c r="E9" s="1659"/>
      <c r="F9" s="1659"/>
      <c r="G9" s="1659"/>
      <c r="H9" s="1659"/>
      <c r="I9" s="1659"/>
      <c r="J9" s="1659"/>
      <c r="K9" s="1660"/>
    </row>
    <row r="10" spans="1:11" s="375" customFormat="1" ht="17.25" customHeight="1" outlineLevel="2" x14ac:dyDescent="0.25">
      <c r="A10" s="374"/>
      <c r="B10" s="315"/>
      <c r="C10" s="1661" t="s">
        <v>638</v>
      </c>
      <c r="D10" s="1661"/>
      <c r="E10" s="1661"/>
      <c r="F10" s="1661"/>
      <c r="G10" s="1661"/>
      <c r="H10" s="1661"/>
      <c r="I10" s="1661"/>
      <c r="J10" s="1661"/>
      <c r="K10" s="1662"/>
    </row>
    <row r="11" spans="1:11" s="375" customFormat="1" ht="17.25" customHeight="1" outlineLevel="2" thickBot="1" x14ac:dyDescent="0.3">
      <c r="A11" s="374"/>
      <c r="B11" s="130"/>
      <c r="C11" s="444">
        <f ca="1">dms_y1</f>
        <v>2011</v>
      </c>
      <c r="D11" s="445">
        <f ca="1">dms_y2</f>
        <v>2012</v>
      </c>
      <c r="E11" s="445">
        <f ca="1">dms_y3</f>
        <v>2013</v>
      </c>
      <c r="F11" s="445">
        <f ca="1">dms_y4</f>
        <v>2014</v>
      </c>
      <c r="G11" s="445">
        <f ca="1">dms_y5</f>
        <v>2015</v>
      </c>
      <c r="H11" s="1318">
        <f ca="1">dms_y6</f>
        <v>2016</v>
      </c>
      <c r="I11" s="1318">
        <f ca="1">dms_y7</f>
        <v>2017</v>
      </c>
      <c r="J11" s="1318">
        <f ca="1">dms_y8</f>
        <v>2018</v>
      </c>
      <c r="K11" s="1318">
        <f ca="1">dms_y9</f>
        <v>2019</v>
      </c>
    </row>
    <row r="12" spans="1:11" outlineLevel="2" x14ac:dyDescent="0.25">
      <c r="A12" s="400"/>
      <c r="B12" s="88" t="s">
        <v>671</v>
      </c>
      <c r="C12" s="365">
        <v>38737234</v>
      </c>
      <c r="D12" s="368">
        <v>36760940</v>
      </c>
      <c r="E12" s="368">
        <v>30857675</v>
      </c>
      <c r="F12" s="366">
        <v>29027787</v>
      </c>
      <c r="G12" s="362">
        <v>32595229</v>
      </c>
      <c r="H12" s="368">
        <v>44386700</v>
      </c>
      <c r="I12" s="368">
        <v>41125402</v>
      </c>
      <c r="J12" s="366">
        <v>46228600</v>
      </c>
      <c r="K12" s="369">
        <v>53284294</v>
      </c>
    </row>
    <row r="13" spans="1:11" outlineLevel="2" x14ac:dyDescent="0.25">
      <c r="A13" s="400"/>
      <c r="B13" s="88" t="s">
        <v>692</v>
      </c>
      <c r="C13" s="370">
        <v>13004328</v>
      </c>
      <c r="D13" s="353">
        <v>18916964</v>
      </c>
      <c r="E13" s="353">
        <v>17120861</v>
      </c>
      <c r="F13" s="354">
        <v>24309659</v>
      </c>
      <c r="G13" s="371">
        <v>21265357</v>
      </c>
      <c r="H13" s="353">
        <v>17009255</v>
      </c>
      <c r="I13" s="353">
        <v>27772621</v>
      </c>
      <c r="J13" s="354">
        <v>24506351</v>
      </c>
      <c r="K13" s="355">
        <v>26450062</v>
      </c>
    </row>
    <row r="14" spans="1:11" outlineLevel="2" x14ac:dyDescent="0.25">
      <c r="A14" s="400"/>
      <c r="B14" s="88" t="s">
        <v>693</v>
      </c>
      <c r="C14" s="370">
        <v>3517254</v>
      </c>
      <c r="D14" s="353">
        <v>2317291</v>
      </c>
      <c r="E14" s="353">
        <v>1158266</v>
      </c>
      <c r="F14" s="354">
        <v>3508526</v>
      </c>
      <c r="G14" s="371">
        <v>7297125</v>
      </c>
      <c r="H14" s="353">
        <v>592205</v>
      </c>
      <c r="I14" s="353">
        <v>1726763</v>
      </c>
      <c r="J14" s="650">
        <v>356053</v>
      </c>
      <c r="K14" s="355">
        <v>1155693</v>
      </c>
    </row>
    <row r="15" spans="1:11" outlineLevel="2" x14ac:dyDescent="0.25">
      <c r="A15" s="400"/>
      <c r="B15" s="88" t="s">
        <v>672</v>
      </c>
      <c r="C15" s="370">
        <v>0</v>
      </c>
      <c r="D15" s="353">
        <v>0</v>
      </c>
      <c r="E15" s="353">
        <v>574144</v>
      </c>
      <c r="F15" s="354">
        <v>254644</v>
      </c>
      <c r="G15" s="371">
        <v>298353</v>
      </c>
      <c r="H15" s="353">
        <v>403065</v>
      </c>
      <c r="I15" s="353">
        <v>275189</v>
      </c>
      <c r="J15" s="354">
        <v>607635</v>
      </c>
      <c r="K15" s="355">
        <v>394822</v>
      </c>
    </row>
    <row r="16" spans="1:11" outlineLevel="2" x14ac:dyDescent="0.25">
      <c r="A16" s="400"/>
      <c r="B16" s="88" t="s">
        <v>673</v>
      </c>
      <c r="C16" s="370">
        <v>2315075</v>
      </c>
      <c r="D16" s="353">
        <v>3066956</v>
      </c>
      <c r="E16" s="353">
        <v>4328998</v>
      </c>
      <c r="F16" s="354">
        <v>3468723</v>
      </c>
      <c r="G16" s="371">
        <v>5029500</v>
      </c>
      <c r="H16" s="353">
        <v>4908271</v>
      </c>
      <c r="I16" s="353">
        <v>4936074</v>
      </c>
      <c r="J16" s="354">
        <v>8372930</v>
      </c>
      <c r="K16" s="355">
        <v>8190531</v>
      </c>
    </row>
    <row r="17" spans="1:11" outlineLevel="2" x14ac:dyDescent="0.25">
      <c r="A17" s="400"/>
      <c r="B17" s="88" t="s">
        <v>694</v>
      </c>
      <c r="C17" s="370">
        <v>9668588</v>
      </c>
      <c r="D17" s="353">
        <v>13843099</v>
      </c>
      <c r="E17" s="353">
        <v>15272025</v>
      </c>
      <c r="F17" s="354">
        <v>12316157</v>
      </c>
      <c r="G17" s="371">
        <v>8235685</v>
      </c>
      <c r="H17" s="353">
        <v>3125684</v>
      </c>
      <c r="I17" s="353">
        <v>5134669</v>
      </c>
      <c r="J17" s="354">
        <v>8221381</v>
      </c>
      <c r="K17" s="355">
        <v>7191496</v>
      </c>
    </row>
    <row r="18" spans="1:11" outlineLevel="2" x14ac:dyDescent="0.25">
      <c r="A18" s="400"/>
      <c r="B18" s="88" t="s">
        <v>695</v>
      </c>
      <c r="C18" s="370">
        <v>11294080.483816894</v>
      </c>
      <c r="D18" s="353">
        <v>14659627.867830293</v>
      </c>
      <c r="E18" s="353">
        <v>14290252.079075493</v>
      </c>
      <c r="F18" s="354">
        <v>13403794.742736617</v>
      </c>
      <c r="G18" s="371">
        <v>9074182.9896095265</v>
      </c>
      <c r="H18" s="353">
        <v>7391250.4743609736</v>
      </c>
      <c r="I18" s="353">
        <v>5516568.0869830484</v>
      </c>
      <c r="J18" s="354">
        <v>5325619.8510336094</v>
      </c>
      <c r="K18" s="355">
        <v>3441470.56</v>
      </c>
    </row>
    <row r="19" spans="1:11" outlineLevel="2" x14ac:dyDescent="0.25">
      <c r="A19" s="400"/>
      <c r="B19" s="88" t="s">
        <v>696</v>
      </c>
      <c r="C19" s="370">
        <v>6125.2661290507613</v>
      </c>
      <c r="D19" s="353">
        <v>7876.3948231801178</v>
      </c>
      <c r="E19" s="353">
        <v>7803.5097284707781</v>
      </c>
      <c r="F19" s="354">
        <v>7343.8506091924664</v>
      </c>
      <c r="G19" s="371">
        <v>4912.0180343298834</v>
      </c>
      <c r="H19" s="353">
        <v>0</v>
      </c>
      <c r="I19" s="353">
        <v>10150.26301695214</v>
      </c>
      <c r="J19" s="354">
        <v>0</v>
      </c>
      <c r="K19" s="355">
        <v>0</v>
      </c>
    </row>
    <row r="20" spans="1:11" outlineLevel="2" x14ac:dyDescent="0.25">
      <c r="A20" s="400"/>
      <c r="B20" s="611" t="s">
        <v>697</v>
      </c>
      <c r="C20" s="394">
        <v>3100566.1700000004</v>
      </c>
      <c r="D20" s="396">
        <v>2572735.4500000002</v>
      </c>
      <c r="E20" s="396">
        <v>8828892.6800000034</v>
      </c>
      <c r="F20" s="397">
        <v>31396932.239999998</v>
      </c>
      <c r="G20" s="395">
        <v>11168662.539999999</v>
      </c>
      <c r="H20" s="396">
        <v>6611562</v>
      </c>
      <c r="I20" s="396">
        <v>9448102</v>
      </c>
      <c r="J20" s="397">
        <v>5673505</v>
      </c>
      <c r="K20" s="398">
        <v>11011203</v>
      </c>
    </row>
    <row r="21" spans="1:11" outlineLevel="2" x14ac:dyDescent="0.25">
      <c r="A21" s="400"/>
      <c r="B21" s="619" t="s">
        <v>1210</v>
      </c>
      <c r="C21" s="453">
        <v>2385620</v>
      </c>
      <c r="D21" s="454">
        <v>3091310</v>
      </c>
      <c r="E21" s="454">
        <v>8908576</v>
      </c>
      <c r="F21" s="455">
        <v>27302834</v>
      </c>
      <c r="G21" s="1299">
        <v>5653887</v>
      </c>
      <c r="H21" s="454">
        <v>3106684</v>
      </c>
      <c r="I21" s="454">
        <v>13418882</v>
      </c>
      <c r="J21" s="455">
        <v>5887298</v>
      </c>
      <c r="K21" s="456">
        <v>8143352</v>
      </c>
    </row>
    <row r="22" spans="1:11" ht="15.75" outlineLevel="2" thickBot="1" x14ac:dyDescent="0.3">
      <c r="A22" s="400"/>
      <c r="B22" s="457" t="s">
        <v>1209</v>
      </c>
      <c r="C22" s="340">
        <f t="shared" ref="C22:K22" si="0">SUM(C12:C20)-C21</f>
        <v>79257630.91994594</v>
      </c>
      <c r="D22" s="340">
        <f t="shared" si="0"/>
        <v>89054179.712653473</v>
      </c>
      <c r="E22" s="340">
        <f t="shared" si="0"/>
        <v>83530341.268803969</v>
      </c>
      <c r="F22" s="340">
        <f t="shared" si="0"/>
        <v>90390732.833345816</v>
      </c>
      <c r="G22" s="340">
        <f t="shared" si="0"/>
        <v>89315119.54764384</v>
      </c>
      <c r="H22" s="340">
        <f t="shared" si="0"/>
        <v>81321308.474360973</v>
      </c>
      <c r="I22" s="340">
        <f t="shared" si="0"/>
        <v>82526656.350000009</v>
      </c>
      <c r="J22" s="340">
        <f t="shared" si="0"/>
        <v>93404776.851033613</v>
      </c>
      <c r="K22" s="340">
        <f t="shared" si="0"/>
        <v>102976219.56</v>
      </c>
    </row>
    <row r="23" spans="1:11" s="400" customFormat="1" ht="15.75" outlineLevel="1" thickBot="1" x14ac:dyDescent="0.3">
      <c r="I23" s="518"/>
    </row>
    <row r="24" spans="1:11" s="436" customFormat="1" ht="24.75" customHeight="1" outlineLevel="1" thickBot="1" x14ac:dyDescent="0.25">
      <c r="A24" s="435"/>
      <c r="B24" s="308" t="s">
        <v>802</v>
      </c>
      <c r="C24" s="309"/>
      <c r="D24" s="309"/>
      <c r="E24" s="309"/>
      <c r="F24" s="309"/>
      <c r="G24" s="309"/>
      <c r="H24" s="309"/>
      <c r="I24" s="309"/>
      <c r="J24" s="309"/>
      <c r="K24" s="310"/>
    </row>
    <row r="25" spans="1:11" outlineLevel="2" x14ac:dyDescent="0.25">
      <c r="A25" s="400"/>
      <c r="B25" s="1415" t="s">
        <v>1304</v>
      </c>
      <c r="C25" s="360">
        <v>1237756.6881398365</v>
      </c>
      <c r="D25" s="363">
        <v>732675.11466566101</v>
      </c>
      <c r="E25" s="363">
        <v>1420051.172416569</v>
      </c>
      <c r="F25" s="361">
        <v>1456811.5500000017</v>
      </c>
      <c r="G25" s="362">
        <v>756824.90677583346</v>
      </c>
      <c r="H25" s="363">
        <v>923945.69167808781</v>
      </c>
      <c r="I25" s="363">
        <v>813934.78457225184</v>
      </c>
      <c r="J25" s="361">
        <v>1181004.2200000002</v>
      </c>
      <c r="K25" s="364">
        <v>929028.45</v>
      </c>
    </row>
    <row r="26" spans="1:11" outlineLevel="2" x14ac:dyDescent="0.25">
      <c r="A26" s="400"/>
      <c r="B26" s="579"/>
      <c r="C26" s="370"/>
      <c r="D26" s="353"/>
      <c r="E26" s="353"/>
      <c r="F26" s="354"/>
      <c r="G26" s="371"/>
      <c r="H26" s="353"/>
      <c r="I26" s="353"/>
      <c r="J26" s="354"/>
      <c r="K26" s="355"/>
    </row>
    <row r="27" spans="1:11" s="1326" customFormat="1" outlineLevel="2" x14ac:dyDescent="0.25">
      <c r="A27" s="518"/>
      <c r="B27" s="579"/>
      <c r="C27" s="370"/>
      <c r="D27" s="353"/>
      <c r="E27" s="353"/>
      <c r="F27" s="354"/>
      <c r="G27" s="371"/>
      <c r="H27" s="353"/>
      <c r="I27" s="353"/>
      <c r="J27" s="354"/>
      <c r="K27" s="355"/>
    </row>
    <row r="28" spans="1:11" s="1351" customFormat="1" outlineLevel="2" x14ac:dyDescent="0.25">
      <c r="A28" s="518"/>
      <c r="B28" s="579"/>
      <c r="C28" s="370"/>
      <c r="D28" s="353"/>
      <c r="E28" s="353"/>
      <c r="F28" s="354"/>
      <c r="G28" s="371"/>
      <c r="H28" s="353"/>
      <c r="I28" s="353"/>
      <c r="J28" s="354"/>
      <c r="K28" s="355"/>
    </row>
    <row r="29" spans="1:11" s="1351" customFormat="1" outlineLevel="2" x14ac:dyDescent="0.25">
      <c r="A29" s="518"/>
      <c r="B29" s="579"/>
      <c r="C29" s="370"/>
      <c r="D29" s="353"/>
      <c r="E29" s="353"/>
      <c r="F29" s="354"/>
      <c r="G29" s="371"/>
      <c r="H29" s="353"/>
      <c r="I29" s="353"/>
      <c r="J29" s="354"/>
      <c r="K29" s="355"/>
    </row>
    <row r="30" spans="1:11" s="1351" customFormat="1" outlineLevel="2" x14ac:dyDescent="0.25">
      <c r="A30" s="518"/>
      <c r="B30" s="579"/>
      <c r="C30" s="370"/>
      <c r="D30" s="353"/>
      <c r="E30" s="353"/>
      <c r="F30" s="354"/>
      <c r="G30" s="371"/>
      <c r="H30" s="353"/>
      <c r="I30" s="353"/>
      <c r="J30" s="354"/>
      <c r="K30" s="355"/>
    </row>
    <row r="31" spans="1:11" s="1351" customFormat="1" outlineLevel="2" x14ac:dyDescent="0.25">
      <c r="A31" s="518"/>
      <c r="B31" s="579"/>
      <c r="C31" s="370"/>
      <c r="D31" s="353"/>
      <c r="E31" s="353"/>
      <c r="F31" s="354"/>
      <c r="G31" s="371"/>
      <c r="H31" s="353"/>
      <c r="I31" s="353"/>
      <c r="J31" s="354"/>
      <c r="K31" s="355"/>
    </row>
    <row r="32" spans="1:11" s="1351" customFormat="1" outlineLevel="2" x14ac:dyDescent="0.25">
      <c r="A32" s="518"/>
      <c r="B32" s="579"/>
      <c r="C32" s="370"/>
      <c r="D32" s="353"/>
      <c r="E32" s="353"/>
      <c r="F32" s="354"/>
      <c r="G32" s="371"/>
      <c r="H32" s="353"/>
      <c r="I32" s="353"/>
      <c r="J32" s="354"/>
      <c r="K32" s="355"/>
    </row>
    <row r="33" spans="1:11" s="1351" customFormat="1" outlineLevel="2" x14ac:dyDescent="0.25">
      <c r="A33" s="518"/>
      <c r="B33" s="579"/>
      <c r="C33" s="370"/>
      <c r="D33" s="353"/>
      <c r="E33" s="353"/>
      <c r="F33" s="354"/>
      <c r="G33" s="371"/>
      <c r="H33" s="353"/>
      <c r="I33" s="353"/>
      <c r="J33" s="354"/>
      <c r="K33" s="355"/>
    </row>
    <row r="34" spans="1:11" s="1351" customFormat="1" outlineLevel="2" x14ac:dyDescent="0.25">
      <c r="A34" s="518"/>
      <c r="B34" s="579"/>
      <c r="C34" s="370"/>
      <c r="D34" s="353"/>
      <c r="E34" s="353"/>
      <c r="F34" s="354"/>
      <c r="G34" s="371"/>
      <c r="H34" s="353"/>
      <c r="I34" s="353"/>
      <c r="J34" s="354"/>
      <c r="K34" s="355"/>
    </row>
    <row r="35" spans="1:11" s="1351" customFormat="1" outlineLevel="2" x14ac:dyDescent="0.25">
      <c r="A35" s="518"/>
      <c r="B35" s="579"/>
      <c r="C35" s="370"/>
      <c r="D35" s="353"/>
      <c r="E35" s="353"/>
      <c r="F35" s="354"/>
      <c r="G35" s="371"/>
      <c r="H35" s="353"/>
      <c r="I35" s="353"/>
      <c r="J35" s="354"/>
      <c r="K35" s="355"/>
    </row>
    <row r="36" spans="1:11" s="1351" customFormat="1" outlineLevel="2" x14ac:dyDescent="0.25">
      <c r="A36" s="518"/>
      <c r="B36" s="579"/>
      <c r="C36" s="370"/>
      <c r="D36" s="353"/>
      <c r="E36" s="353"/>
      <c r="F36" s="354"/>
      <c r="G36" s="371"/>
      <c r="H36" s="353"/>
      <c r="I36" s="353"/>
      <c r="J36" s="354"/>
      <c r="K36" s="355"/>
    </row>
    <row r="37" spans="1:11" s="1351" customFormat="1" outlineLevel="2" x14ac:dyDescent="0.25">
      <c r="A37" s="518"/>
      <c r="B37" s="579"/>
      <c r="C37" s="370"/>
      <c r="D37" s="353"/>
      <c r="E37" s="353"/>
      <c r="F37" s="354"/>
      <c r="G37" s="371"/>
      <c r="H37" s="353"/>
      <c r="I37" s="353"/>
      <c r="J37" s="354"/>
      <c r="K37" s="355"/>
    </row>
    <row r="38" spans="1:11" s="1326" customFormat="1" outlineLevel="2" x14ac:dyDescent="0.25">
      <c r="A38" s="518"/>
      <c r="B38" s="579"/>
      <c r="C38" s="370"/>
      <c r="D38" s="353"/>
      <c r="E38" s="353"/>
      <c r="F38" s="354"/>
      <c r="G38" s="371"/>
      <c r="H38" s="353"/>
      <c r="I38" s="353"/>
      <c r="J38" s="354"/>
      <c r="K38" s="355"/>
    </row>
    <row r="39" spans="1:11" s="1326" customFormat="1" outlineLevel="2" x14ac:dyDescent="0.25">
      <c r="A39" s="518"/>
      <c r="B39" s="579"/>
      <c r="C39" s="370"/>
      <c r="D39" s="353"/>
      <c r="E39" s="353"/>
      <c r="F39" s="354"/>
      <c r="G39" s="371"/>
      <c r="H39" s="353"/>
      <c r="I39" s="353"/>
      <c r="J39" s="354"/>
      <c r="K39" s="355"/>
    </row>
    <row r="40" spans="1:11" s="1326" customFormat="1" outlineLevel="2" x14ac:dyDescent="0.25">
      <c r="A40" s="518"/>
      <c r="B40" s="579"/>
      <c r="C40" s="370"/>
      <c r="D40" s="353"/>
      <c r="E40" s="353"/>
      <c r="F40" s="354"/>
      <c r="G40" s="371"/>
      <c r="H40" s="353"/>
      <c r="I40" s="353"/>
      <c r="J40" s="354"/>
      <c r="K40" s="355"/>
    </row>
    <row r="41" spans="1:11" s="1326" customFormat="1" outlineLevel="2" x14ac:dyDescent="0.25">
      <c r="A41" s="518"/>
      <c r="B41" s="579"/>
      <c r="C41" s="370"/>
      <c r="D41" s="353"/>
      <c r="E41" s="353"/>
      <c r="F41" s="354"/>
      <c r="G41" s="371"/>
      <c r="H41" s="353"/>
      <c r="I41" s="353"/>
      <c r="J41" s="354"/>
      <c r="K41" s="355"/>
    </row>
    <row r="42" spans="1:11" s="1326" customFormat="1" outlineLevel="2" x14ac:dyDescent="0.25">
      <c r="A42" s="518"/>
      <c r="B42" s="579"/>
      <c r="C42" s="370"/>
      <c r="D42" s="353"/>
      <c r="E42" s="353"/>
      <c r="F42" s="354"/>
      <c r="G42" s="371"/>
      <c r="H42" s="353"/>
      <c r="I42" s="353"/>
      <c r="J42" s="354"/>
      <c r="K42" s="355"/>
    </row>
    <row r="43" spans="1:11" outlineLevel="2" x14ac:dyDescent="0.25">
      <c r="A43" s="400"/>
      <c r="B43" s="579"/>
      <c r="C43" s="370"/>
      <c r="D43" s="353"/>
      <c r="E43" s="353"/>
      <c r="F43" s="354"/>
      <c r="G43" s="371"/>
      <c r="H43" s="353"/>
      <c r="I43" s="353"/>
      <c r="J43" s="354"/>
      <c r="K43" s="355"/>
    </row>
    <row r="44" spans="1:11" outlineLevel="2" x14ac:dyDescent="0.25">
      <c r="A44" s="400"/>
      <c r="B44" s="579"/>
      <c r="C44" s="370"/>
      <c r="D44" s="353"/>
      <c r="E44" s="353"/>
      <c r="F44" s="354"/>
      <c r="G44" s="371"/>
      <c r="H44" s="353"/>
      <c r="I44" s="353"/>
      <c r="J44" s="354"/>
      <c r="K44" s="355"/>
    </row>
    <row r="45" spans="1:11" outlineLevel="2" x14ac:dyDescent="0.25">
      <c r="A45" s="400"/>
      <c r="B45" s="579"/>
      <c r="C45" s="370"/>
      <c r="D45" s="353"/>
      <c r="E45" s="353"/>
      <c r="F45" s="354"/>
      <c r="G45" s="371"/>
      <c r="H45" s="353"/>
      <c r="I45" s="353"/>
      <c r="J45" s="354"/>
      <c r="K45" s="355"/>
    </row>
    <row r="46" spans="1:11" outlineLevel="2" x14ac:dyDescent="0.25">
      <c r="A46" s="400"/>
      <c r="B46" s="579"/>
      <c r="C46" s="370"/>
      <c r="D46" s="353"/>
      <c r="E46" s="353"/>
      <c r="F46" s="354"/>
      <c r="G46" s="371"/>
      <c r="H46" s="353"/>
      <c r="I46" s="353"/>
      <c r="J46" s="354"/>
      <c r="K46" s="355"/>
    </row>
    <row r="47" spans="1:11" outlineLevel="2" x14ac:dyDescent="0.25">
      <c r="A47" s="400"/>
      <c r="B47" s="579"/>
      <c r="C47" s="370"/>
      <c r="D47" s="353"/>
      <c r="E47" s="353"/>
      <c r="F47" s="354"/>
      <c r="G47" s="371"/>
      <c r="H47" s="353"/>
      <c r="I47" s="353"/>
      <c r="J47" s="354"/>
      <c r="K47" s="355"/>
    </row>
    <row r="48" spans="1:11" outlineLevel="2" x14ac:dyDescent="0.25">
      <c r="A48" s="400"/>
      <c r="B48" s="579"/>
      <c r="C48" s="370"/>
      <c r="D48" s="353"/>
      <c r="E48" s="353"/>
      <c r="F48" s="354"/>
      <c r="G48" s="371"/>
      <c r="H48" s="353"/>
      <c r="I48" s="353"/>
      <c r="J48" s="354"/>
      <c r="K48" s="355"/>
    </row>
    <row r="49" spans="1:11" outlineLevel="2" x14ac:dyDescent="0.25">
      <c r="A49" s="400"/>
      <c r="B49" s="1327"/>
      <c r="C49" s="394"/>
      <c r="D49" s="396"/>
      <c r="E49" s="396"/>
      <c r="F49" s="397"/>
      <c r="G49" s="395"/>
      <c r="H49" s="396"/>
      <c r="I49" s="396"/>
      <c r="J49" s="397"/>
      <c r="K49" s="398"/>
    </row>
    <row r="50" spans="1:11" outlineLevel="2" x14ac:dyDescent="0.25">
      <c r="A50" s="400"/>
      <c r="B50" s="619" t="s">
        <v>1210</v>
      </c>
      <c r="C50" s="365">
        <v>1115891</v>
      </c>
      <c r="D50" s="368">
        <v>444498.84</v>
      </c>
      <c r="E50" s="368">
        <v>860240.21999999927</v>
      </c>
      <c r="F50" s="366">
        <v>779529.4299999997</v>
      </c>
      <c r="G50" s="1299">
        <v>474600.60000000003</v>
      </c>
      <c r="H50" s="368">
        <v>120353</v>
      </c>
      <c r="I50" s="368">
        <v>98964</v>
      </c>
      <c r="J50" s="366">
        <v>559123.76</v>
      </c>
      <c r="K50" s="369">
        <v>473220.06000000006</v>
      </c>
    </row>
    <row r="51" spans="1:11" ht="15.75" outlineLevel="2" thickBot="1" x14ac:dyDescent="0.3">
      <c r="A51" s="400"/>
      <c r="B51" s="457" t="s">
        <v>1209</v>
      </c>
      <c r="C51" s="590">
        <f t="shared" ref="C51:K51" si="1">SUM(C25:C49)-C50</f>
        <v>121865.68813983654</v>
      </c>
      <c r="D51" s="590">
        <f t="shared" si="1"/>
        <v>288176.27466566098</v>
      </c>
      <c r="E51" s="590">
        <f t="shared" si="1"/>
        <v>559810.95241656969</v>
      </c>
      <c r="F51" s="590">
        <f t="shared" si="1"/>
        <v>677282.12000000197</v>
      </c>
      <c r="G51" s="590">
        <f t="shared" si="1"/>
        <v>282224.30677583342</v>
      </c>
      <c r="H51" s="590">
        <f t="shared" si="1"/>
        <v>803592.69167808781</v>
      </c>
      <c r="I51" s="590">
        <f t="shared" si="1"/>
        <v>714970.78457225184</v>
      </c>
      <c r="J51" s="590">
        <f t="shared" si="1"/>
        <v>621880.4600000002</v>
      </c>
      <c r="K51" s="458">
        <f t="shared" si="1"/>
        <v>455808.3899999999</v>
      </c>
    </row>
    <row r="52" spans="1:11" s="400" customFormat="1" ht="23.25" customHeight="1" outlineLevel="1" x14ac:dyDescent="0.25">
      <c r="I52" s="518"/>
    </row>
    <row r="53" spans="1:11" x14ac:dyDescent="0.25">
      <c r="B53" s="437"/>
    </row>
    <row r="54" spans="1:11" ht="15.75" thickBot="1" x14ac:dyDescent="0.3">
      <c r="B54" s="437"/>
    </row>
    <row r="55" spans="1:11" s="436" customFormat="1" ht="24.75" customHeight="1" thickBot="1" x14ac:dyDescent="0.25">
      <c r="A55" s="435"/>
      <c r="B55" s="84" t="s">
        <v>793</v>
      </c>
      <c r="C55" s="84"/>
      <c r="D55" s="84"/>
      <c r="E55" s="84"/>
      <c r="F55" s="84"/>
      <c r="G55" s="84"/>
      <c r="H55" s="84"/>
      <c r="I55" s="84"/>
      <c r="J55" s="84"/>
      <c r="K55" s="84"/>
    </row>
    <row r="56" spans="1:11" s="436" customFormat="1" ht="24.75" customHeight="1" outlineLevel="1" thickBot="1" x14ac:dyDescent="0.25">
      <c r="A56" s="435"/>
      <c r="B56" s="308" t="s">
        <v>794</v>
      </c>
      <c r="C56" s="309"/>
      <c r="D56" s="309"/>
      <c r="E56" s="309"/>
      <c r="F56" s="309"/>
      <c r="G56" s="309"/>
      <c r="H56" s="309"/>
      <c r="I56" s="309"/>
      <c r="J56" s="309"/>
      <c r="K56" s="310"/>
    </row>
    <row r="57" spans="1:11" s="375" customFormat="1" ht="17.25" customHeight="1" outlineLevel="2" x14ac:dyDescent="0.25">
      <c r="A57" s="374"/>
      <c r="B57" s="403"/>
      <c r="C57" s="1659" t="s">
        <v>637</v>
      </c>
      <c r="D57" s="1659"/>
      <c r="E57" s="1659"/>
      <c r="F57" s="1659"/>
      <c r="G57" s="1659"/>
      <c r="H57" s="1659"/>
      <c r="I57" s="1659"/>
      <c r="J57" s="1659"/>
      <c r="K57" s="1660"/>
    </row>
    <row r="58" spans="1:11" s="375" customFormat="1" ht="17.25" customHeight="1" outlineLevel="2" x14ac:dyDescent="0.25">
      <c r="A58"/>
      <c r="B58" s="315"/>
      <c r="C58" s="1661" t="s">
        <v>638</v>
      </c>
      <c r="D58" s="1661"/>
      <c r="E58" s="1661"/>
      <c r="F58" s="1661"/>
      <c r="G58" s="1661"/>
      <c r="H58" s="1661"/>
      <c r="I58" s="1661"/>
      <c r="J58" s="1661"/>
      <c r="K58" s="1662"/>
    </row>
    <row r="59" spans="1:11" s="375" customFormat="1" ht="17.25" customHeight="1" outlineLevel="2" thickBot="1" x14ac:dyDescent="0.3">
      <c r="A59"/>
      <c r="B59" s="130"/>
      <c r="C59" s="444">
        <f ca="1">dms_y1</f>
        <v>2011</v>
      </c>
      <c r="D59" s="445">
        <f ca="1">dms_y2</f>
        <v>2012</v>
      </c>
      <c r="E59" s="445">
        <f ca="1">dms_y3</f>
        <v>2013</v>
      </c>
      <c r="F59" s="445">
        <f ca="1">dms_y4</f>
        <v>2014</v>
      </c>
      <c r="G59" s="445">
        <f ca="1">dms_y5</f>
        <v>2015</v>
      </c>
      <c r="H59" s="1318">
        <f ca="1">dms_y6</f>
        <v>2016</v>
      </c>
      <c r="I59" s="1318">
        <f ca="1">dms_y7</f>
        <v>2017</v>
      </c>
      <c r="J59" s="1318">
        <f ca="1">dms_y8</f>
        <v>2018</v>
      </c>
      <c r="K59" s="1318">
        <f ca="1">dms_y9</f>
        <v>2019</v>
      </c>
    </row>
    <row r="60" spans="1:11" outlineLevel="2" x14ac:dyDescent="0.25">
      <c r="A60"/>
      <c r="B60" s="1333" t="s">
        <v>1220</v>
      </c>
      <c r="C60" s="360">
        <v>12555343.729126124</v>
      </c>
      <c r="D60" s="363">
        <v>15154700</v>
      </c>
      <c r="E60" s="363">
        <v>11640137</v>
      </c>
      <c r="F60" s="361">
        <v>11757355</v>
      </c>
      <c r="G60" s="362">
        <v>13947475</v>
      </c>
      <c r="H60" s="363">
        <v>16654463</v>
      </c>
      <c r="I60" s="363">
        <v>16837408</v>
      </c>
      <c r="J60" s="361">
        <v>16558760</v>
      </c>
      <c r="K60" s="364">
        <v>17370247</v>
      </c>
    </row>
    <row r="61" spans="1:11" s="1352" customFormat="1" outlineLevel="2" x14ac:dyDescent="0.25">
      <c r="B61" s="620" t="s">
        <v>1229</v>
      </c>
      <c r="C61" s="365">
        <v>320090.50396854256</v>
      </c>
      <c r="D61" s="368">
        <v>60653</v>
      </c>
      <c r="E61" s="368">
        <v>128212</v>
      </c>
      <c r="F61" s="366">
        <v>115666</v>
      </c>
      <c r="G61" s="367">
        <v>155143</v>
      </c>
      <c r="H61" s="368">
        <v>94764</v>
      </c>
      <c r="I61" s="368">
        <v>244277</v>
      </c>
      <c r="J61" s="366">
        <v>565041</v>
      </c>
      <c r="K61" s="369">
        <v>434410</v>
      </c>
    </row>
    <row r="62" spans="1:11" outlineLevel="2" x14ac:dyDescent="0.25">
      <c r="A62"/>
      <c r="B62" s="588" t="s">
        <v>1225</v>
      </c>
      <c r="C62" s="370">
        <v>0</v>
      </c>
      <c r="D62" s="353">
        <v>0</v>
      </c>
      <c r="E62" s="353">
        <v>0</v>
      </c>
      <c r="F62" s="354">
        <v>0</v>
      </c>
      <c r="G62" s="371">
        <v>0</v>
      </c>
      <c r="H62" s="353">
        <v>0</v>
      </c>
      <c r="I62" s="353">
        <v>0</v>
      </c>
      <c r="J62" s="354">
        <v>0</v>
      </c>
      <c r="K62" s="355">
        <v>0</v>
      </c>
    </row>
    <row r="63" spans="1:11" s="1280" customFormat="1" outlineLevel="2" x14ac:dyDescent="0.25">
      <c r="A63"/>
      <c r="B63" s="588" t="s">
        <v>1224</v>
      </c>
      <c r="C63" s="370">
        <v>0</v>
      </c>
      <c r="D63" s="353">
        <v>0</v>
      </c>
      <c r="E63" s="353">
        <v>0</v>
      </c>
      <c r="F63" s="354">
        <v>0</v>
      </c>
      <c r="G63" s="371">
        <v>0</v>
      </c>
      <c r="H63" s="353">
        <v>0</v>
      </c>
      <c r="I63" s="353">
        <v>0</v>
      </c>
      <c r="J63" s="354">
        <v>0</v>
      </c>
      <c r="K63" s="355">
        <v>0</v>
      </c>
    </row>
    <row r="64" spans="1:11" s="1280" customFormat="1" outlineLevel="2" x14ac:dyDescent="0.25">
      <c r="A64"/>
      <c r="B64" s="588" t="s">
        <v>1197</v>
      </c>
      <c r="C64" s="370">
        <v>828036.01</v>
      </c>
      <c r="D64" s="353">
        <v>432191</v>
      </c>
      <c r="E64" s="353">
        <v>-1618057</v>
      </c>
      <c r="F64" s="354">
        <v>-814376</v>
      </c>
      <c r="G64" s="371">
        <v>-1650837</v>
      </c>
      <c r="H64" s="353">
        <v>-1799147</v>
      </c>
      <c r="I64" s="353">
        <v>113898</v>
      </c>
      <c r="J64" s="354">
        <v>1</v>
      </c>
      <c r="K64" s="355">
        <v>2206947</v>
      </c>
    </row>
    <row r="65" spans="1:11" s="1280" customFormat="1" outlineLevel="2" x14ac:dyDescent="0.25">
      <c r="A65"/>
      <c r="B65" s="588" t="s">
        <v>1222</v>
      </c>
      <c r="C65" s="370">
        <v>0</v>
      </c>
      <c r="D65" s="353">
        <v>0</v>
      </c>
      <c r="E65" s="353">
        <v>0</v>
      </c>
      <c r="F65" s="354">
        <v>0</v>
      </c>
      <c r="G65" s="371">
        <v>0</v>
      </c>
      <c r="H65" s="353">
        <v>0</v>
      </c>
      <c r="I65" s="353">
        <v>0</v>
      </c>
      <c r="J65" s="354">
        <v>0</v>
      </c>
      <c r="K65" s="355">
        <v>0</v>
      </c>
    </row>
    <row r="66" spans="1:11" s="1280" customFormat="1" outlineLevel="2" x14ac:dyDescent="0.25">
      <c r="A66"/>
      <c r="B66" s="588" t="s">
        <v>1198</v>
      </c>
      <c r="C66" s="370">
        <v>17330</v>
      </c>
      <c r="D66" s="353">
        <v>-17240</v>
      </c>
      <c r="E66" s="353">
        <v>50757</v>
      </c>
      <c r="F66" s="354">
        <v>20082</v>
      </c>
      <c r="G66" s="371">
        <v>5698</v>
      </c>
      <c r="H66" s="353">
        <v>2900</v>
      </c>
      <c r="I66" s="353">
        <v>6620</v>
      </c>
      <c r="J66" s="354">
        <v>12690</v>
      </c>
      <c r="K66" s="355">
        <v>59540</v>
      </c>
    </row>
    <row r="67" spans="1:11" ht="15.75" outlineLevel="2" thickBot="1" x14ac:dyDescent="0.3">
      <c r="A67" s="1281"/>
      <c r="B67" s="588" t="s">
        <v>1221</v>
      </c>
      <c r="C67" s="370">
        <v>27901494.195100367</v>
      </c>
      <c r="D67" s="353">
        <v>35010238</v>
      </c>
      <c r="E67" s="353">
        <v>43353389</v>
      </c>
      <c r="F67" s="354">
        <v>38156137</v>
      </c>
      <c r="G67" s="371">
        <v>37754564</v>
      </c>
      <c r="H67" s="353">
        <v>35659630</v>
      </c>
      <c r="I67" s="353">
        <v>39012595</v>
      </c>
      <c r="J67" s="354">
        <v>39032060</v>
      </c>
      <c r="K67" s="355">
        <v>35926986</v>
      </c>
    </row>
    <row r="68" spans="1:11" ht="15.75" outlineLevel="2" thickBot="1" x14ac:dyDescent="0.3">
      <c r="A68" s="1281"/>
      <c r="B68" s="1334" t="s">
        <v>640</v>
      </c>
      <c r="C68" s="392">
        <f t="shared" ref="C68:I68" si="2">SUM(C60:C67)</f>
        <v>41622294.438195035</v>
      </c>
      <c r="D68" s="392">
        <f t="shared" si="2"/>
        <v>50640542</v>
      </c>
      <c r="E68" s="392">
        <f t="shared" si="2"/>
        <v>53554438</v>
      </c>
      <c r="F68" s="392">
        <f t="shared" si="2"/>
        <v>49234864</v>
      </c>
      <c r="G68" s="392">
        <f t="shared" si="2"/>
        <v>50212043</v>
      </c>
      <c r="H68" s="392">
        <f t="shared" si="2"/>
        <v>50612610</v>
      </c>
      <c r="I68" s="392">
        <f t="shared" si="2"/>
        <v>56214798</v>
      </c>
      <c r="J68" s="392">
        <f>SUM(J60:J67)</f>
        <v>56168552</v>
      </c>
      <c r="K68" s="393">
        <f>SUM(K60:K67)</f>
        <v>55998130</v>
      </c>
    </row>
    <row r="69" spans="1:11" s="400" customFormat="1" ht="15.75" outlineLevel="1" thickBot="1" x14ac:dyDescent="0.3">
      <c r="A69" s="1281"/>
      <c r="I69" s="518"/>
    </row>
    <row r="70" spans="1:11" s="436" customFormat="1" ht="24.75" customHeight="1" outlineLevel="1" thickBot="1" x14ac:dyDescent="0.25">
      <c r="A70" s="376"/>
      <c r="B70" s="423" t="s">
        <v>795</v>
      </c>
      <c r="C70" s="423"/>
      <c r="D70" s="423"/>
      <c r="E70" s="423"/>
      <c r="F70" s="423"/>
      <c r="G70" s="423"/>
      <c r="H70" s="423"/>
      <c r="I70" s="423"/>
      <c r="J70" s="423"/>
      <c r="K70" s="451"/>
    </row>
    <row r="71" spans="1:11" outlineLevel="2" x14ac:dyDescent="0.25">
      <c r="A71" s="314"/>
      <c r="B71" s="641" t="str">
        <f>'E21. ARS'!$B$28</f>
        <v>ARS - Other Non-Reference Services</v>
      </c>
      <c r="C71" s="360">
        <v>1588067.9005939378</v>
      </c>
      <c r="D71" s="363">
        <v>1583990</v>
      </c>
      <c r="E71" s="363">
        <v>1004944</v>
      </c>
      <c r="F71" s="361">
        <v>830796</v>
      </c>
      <c r="G71" s="362">
        <v>787669</v>
      </c>
      <c r="H71" s="363">
        <v>430358</v>
      </c>
      <c r="I71" s="363">
        <v>349975</v>
      </c>
      <c r="J71" s="361">
        <v>292651</v>
      </c>
      <c r="K71" s="364">
        <v>1045046</v>
      </c>
    </row>
    <row r="72" spans="1:11" s="1280" customFormat="1" outlineLevel="2" x14ac:dyDescent="0.25">
      <c r="A72" s="314"/>
      <c r="B72" s="579"/>
      <c r="C72" s="370"/>
      <c r="D72" s="353"/>
      <c r="E72" s="353"/>
      <c r="F72" s="354"/>
      <c r="G72" s="371"/>
      <c r="H72" s="353"/>
      <c r="I72" s="353"/>
      <c r="J72" s="354"/>
      <c r="K72" s="355"/>
    </row>
    <row r="73" spans="1:11" s="1351" customFormat="1" outlineLevel="2" x14ac:dyDescent="0.25">
      <c r="A73" s="314"/>
      <c r="B73" s="579"/>
      <c r="C73" s="370"/>
      <c r="D73" s="353"/>
      <c r="E73" s="353"/>
      <c r="F73" s="354"/>
      <c r="G73" s="371"/>
      <c r="H73" s="353"/>
      <c r="I73" s="353"/>
      <c r="J73" s="354"/>
      <c r="K73" s="355"/>
    </row>
    <row r="74" spans="1:11" s="1351" customFormat="1" outlineLevel="2" x14ac:dyDescent="0.25">
      <c r="A74" s="314"/>
      <c r="B74" s="579"/>
      <c r="C74" s="370"/>
      <c r="D74" s="353"/>
      <c r="E74" s="353"/>
      <c r="F74" s="354"/>
      <c r="G74" s="371"/>
      <c r="H74" s="353"/>
      <c r="I74" s="353"/>
      <c r="J74" s="354"/>
      <c r="K74" s="355"/>
    </row>
    <row r="75" spans="1:11" s="1351" customFormat="1" outlineLevel="2" x14ac:dyDescent="0.25">
      <c r="A75" s="314"/>
      <c r="B75" s="579"/>
      <c r="C75" s="370"/>
      <c r="D75" s="353"/>
      <c r="E75" s="353"/>
      <c r="F75" s="354"/>
      <c r="G75" s="371"/>
      <c r="H75" s="353"/>
      <c r="I75" s="353"/>
      <c r="J75" s="354"/>
      <c r="K75" s="355"/>
    </row>
    <row r="76" spans="1:11" s="1351" customFormat="1" outlineLevel="2" x14ac:dyDescent="0.25">
      <c r="A76" s="314"/>
      <c r="B76" s="579"/>
      <c r="C76" s="370"/>
      <c r="D76" s="353"/>
      <c r="E76" s="353"/>
      <c r="F76" s="354"/>
      <c r="G76" s="371"/>
      <c r="H76" s="353"/>
      <c r="I76" s="353"/>
      <c r="J76" s="354"/>
      <c r="K76" s="355"/>
    </row>
    <row r="77" spans="1:11" s="1351" customFormat="1" outlineLevel="2" x14ac:dyDescent="0.25">
      <c r="A77" s="314"/>
      <c r="B77" s="579"/>
      <c r="C77" s="370"/>
      <c r="D77" s="353"/>
      <c r="E77" s="353"/>
      <c r="F77" s="354"/>
      <c r="G77" s="371"/>
      <c r="H77" s="353"/>
      <c r="I77" s="353"/>
      <c r="J77" s="354"/>
      <c r="K77" s="355"/>
    </row>
    <row r="78" spans="1:11" s="1351" customFormat="1" outlineLevel="2" x14ac:dyDescent="0.25">
      <c r="A78" s="314"/>
      <c r="B78" s="579"/>
      <c r="C78" s="370"/>
      <c r="D78" s="353"/>
      <c r="E78" s="353"/>
      <c r="F78" s="354"/>
      <c r="G78" s="371"/>
      <c r="H78" s="353"/>
      <c r="I78" s="353"/>
      <c r="J78" s="354"/>
      <c r="K78" s="355"/>
    </row>
    <row r="79" spans="1:11" s="1351" customFormat="1" outlineLevel="2" x14ac:dyDescent="0.25">
      <c r="A79" s="314"/>
      <c r="B79" s="579"/>
      <c r="C79" s="370"/>
      <c r="D79" s="353"/>
      <c r="E79" s="353"/>
      <c r="F79" s="354"/>
      <c r="G79" s="371"/>
      <c r="H79" s="353"/>
      <c r="I79" s="353"/>
      <c r="J79" s="354"/>
      <c r="K79" s="355"/>
    </row>
    <row r="80" spans="1:11" s="1351" customFormat="1" outlineLevel="2" x14ac:dyDescent="0.25">
      <c r="A80" s="314"/>
      <c r="B80" s="579"/>
      <c r="C80" s="370"/>
      <c r="D80" s="353"/>
      <c r="E80" s="353"/>
      <c r="F80" s="354"/>
      <c r="G80" s="371"/>
      <c r="H80" s="353"/>
      <c r="I80" s="353"/>
      <c r="J80" s="354"/>
      <c r="K80" s="355"/>
    </row>
    <row r="81" spans="1:11" s="1351" customFormat="1" outlineLevel="2" x14ac:dyDescent="0.25">
      <c r="A81" s="314"/>
      <c r="B81" s="579"/>
      <c r="C81" s="370"/>
      <c r="D81" s="353"/>
      <c r="E81" s="353"/>
      <c r="F81" s="354"/>
      <c r="G81" s="371"/>
      <c r="H81" s="353"/>
      <c r="I81" s="353"/>
      <c r="J81" s="354"/>
      <c r="K81" s="355"/>
    </row>
    <row r="82" spans="1:11" s="1351" customFormat="1" outlineLevel="2" x14ac:dyDescent="0.25">
      <c r="A82" s="314"/>
      <c r="B82" s="579"/>
      <c r="C82" s="370"/>
      <c r="D82" s="353"/>
      <c r="E82" s="353"/>
      <c r="F82" s="354"/>
      <c r="G82" s="371"/>
      <c r="H82" s="353"/>
      <c r="I82" s="353"/>
      <c r="J82" s="354"/>
      <c r="K82" s="355"/>
    </row>
    <row r="83" spans="1:11" s="1351" customFormat="1" outlineLevel="2" x14ac:dyDescent="0.25">
      <c r="A83" s="314"/>
      <c r="B83" s="579"/>
      <c r="C83" s="370"/>
      <c r="D83" s="353"/>
      <c r="E83" s="353"/>
      <c r="F83" s="354"/>
      <c r="G83" s="371"/>
      <c r="H83" s="353"/>
      <c r="I83" s="353"/>
      <c r="J83" s="354"/>
      <c r="K83" s="355"/>
    </row>
    <row r="84" spans="1:11" s="1351" customFormat="1" outlineLevel="2" x14ac:dyDescent="0.25">
      <c r="A84" s="314"/>
      <c r="B84" s="579"/>
      <c r="C84" s="370"/>
      <c r="D84" s="353"/>
      <c r="E84" s="353"/>
      <c r="F84" s="354"/>
      <c r="G84" s="371"/>
      <c r="H84" s="353"/>
      <c r="I84" s="353"/>
      <c r="J84" s="354"/>
      <c r="K84" s="355"/>
    </row>
    <row r="85" spans="1:11" s="1351" customFormat="1" outlineLevel="2" x14ac:dyDescent="0.25">
      <c r="A85" s="314"/>
      <c r="B85" s="579"/>
      <c r="C85" s="370"/>
      <c r="D85" s="353"/>
      <c r="E85" s="353"/>
      <c r="F85" s="354"/>
      <c r="G85" s="371"/>
      <c r="H85" s="353"/>
      <c r="I85" s="353"/>
      <c r="J85" s="354"/>
      <c r="K85" s="355"/>
    </row>
    <row r="86" spans="1:11" s="1351" customFormat="1" outlineLevel="2" x14ac:dyDescent="0.25">
      <c r="A86" s="314"/>
      <c r="B86" s="579"/>
      <c r="C86" s="370"/>
      <c r="D86" s="353"/>
      <c r="E86" s="353"/>
      <c r="F86" s="354"/>
      <c r="G86" s="371"/>
      <c r="H86" s="353"/>
      <c r="I86" s="353"/>
      <c r="J86" s="354"/>
      <c r="K86" s="355"/>
    </row>
    <row r="87" spans="1:11" s="1351" customFormat="1" outlineLevel="2" x14ac:dyDescent="0.25">
      <c r="A87" s="314"/>
      <c r="B87" s="579"/>
      <c r="C87" s="370"/>
      <c r="D87" s="353"/>
      <c r="E87" s="353"/>
      <c r="F87" s="354"/>
      <c r="G87" s="371"/>
      <c r="H87" s="353"/>
      <c r="I87" s="353"/>
      <c r="J87" s="354"/>
      <c r="K87" s="355"/>
    </row>
    <row r="88" spans="1:11" s="1280" customFormat="1" outlineLevel="2" x14ac:dyDescent="0.25">
      <c r="A88" s="314"/>
      <c r="B88" s="579"/>
      <c r="C88" s="370"/>
      <c r="D88" s="353"/>
      <c r="E88" s="353"/>
      <c r="F88" s="354"/>
      <c r="G88" s="371"/>
      <c r="H88" s="353"/>
      <c r="I88" s="353"/>
      <c r="J88" s="354"/>
      <c r="K88" s="355"/>
    </row>
    <row r="89" spans="1:11" s="1280" customFormat="1" outlineLevel="2" x14ac:dyDescent="0.25">
      <c r="A89" s="314"/>
      <c r="B89" s="579"/>
      <c r="C89" s="370"/>
      <c r="D89" s="353"/>
      <c r="E89" s="353"/>
      <c r="F89" s="354"/>
      <c r="G89" s="371"/>
      <c r="H89" s="353"/>
      <c r="I89" s="353"/>
      <c r="J89" s="354"/>
      <c r="K89" s="355"/>
    </row>
    <row r="90" spans="1:11" s="1280" customFormat="1" outlineLevel="2" x14ac:dyDescent="0.25">
      <c r="A90" s="314"/>
      <c r="B90" s="579"/>
      <c r="C90" s="370"/>
      <c r="D90" s="353"/>
      <c r="E90" s="353"/>
      <c r="F90" s="354"/>
      <c r="G90" s="371"/>
      <c r="H90" s="353"/>
      <c r="I90" s="353"/>
      <c r="J90" s="354"/>
      <c r="K90" s="355"/>
    </row>
    <row r="91" spans="1:11" s="1280" customFormat="1" outlineLevel="2" x14ac:dyDescent="0.25">
      <c r="A91" s="314"/>
      <c r="B91" s="579"/>
      <c r="C91" s="370"/>
      <c r="D91" s="353"/>
      <c r="E91" s="353"/>
      <c r="F91" s="354"/>
      <c r="G91" s="371"/>
      <c r="H91" s="353"/>
      <c r="I91" s="353"/>
      <c r="J91" s="354"/>
      <c r="K91" s="355"/>
    </row>
    <row r="92" spans="1:11" s="1280" customFormat="1" outlineLevel="2" x14ac:dyDescent="0.25">
      <c r="A92" s="314"/>
      <c r="B92" s="579"/>
      <c r="C92" s="370"/>
      <c r="D92" s="353"/>
      <c r="E92" s="353"/>
      <c r="F92" s="354"/>
      <c r="G92" s="371"/>
      <c r="H92" s="353"/>
      <c r="I92" s="353"/>
      <c r="J92" s="354"/>
      <c r="K92" s="355"/>
    </row>
    <row r="93" spans="1:11" s="1280" customFormat="1" outlineLevel="2" x14ac:dyDescent="0.25">
      <c r="A93" s="314"/>
      <c r="B93" s="579"/>
      <c r="C93" s="370"/>
      <c r="D93" s="353"/>
      <c r="E93" s="353"/>
      <c r="F93" s="354"/>
      <c r="G93" s="371"/>
      <c r="H93" s="353"/>
      <c r="I93" s="353"/>
      <c r="J93" s="354"/>
      <c r="K93" s="355"/>
    </row>
    <row r="94" spans="1:11" s="1280" customFormat="1" outlineLevel="2" x14ac:dyDescent="0.25">
      <c r="A94" s="314"/>
      <c r="B94" s="579"/>
      <c r="C94" s="370"/>
      <c r="D94" s="353"/>
      <c r="E94" s="353"/>
      <c r="F94" s="354"/>
      <c r="G94" s="371"/>
      <c r="H94" s="353"/>
      <c r="I94" s="353"/>
      <c r="J94" s="354"/>
      <c r="K94" s="355"/>
    </row>
    <row r="95" spans="1:11" s="1280" customFormat="1" ht="15.75" outlineLevel="2" thickBot="1" x14ac:dyDescent="0.3">
      <c r="A95" s="314"/>
      <c r="B95" s="580"/>
      <c r="C95" s="372"/>
      <c r="D95" s="356"/>
      <c r="E95" s="356"/>
      <c r="F95" s="357"/>
      <c r="G95" s="373"/>
      <c r="H95" s="356"/>
      <c r="I95" s="356"/>
      <c r="J95" s="357"/>
      <c r="K95" s="358"/>
    </row>
    <row r="96" spans="1:11" ht="15.75" outlineLevel="2" thickBot="1" x14ac:dyDescent="0.3">
      <c r="A96"/>
      <c r="B96" s="1331" t="s">
        <v>1203</v>
      </c>
      <c r="C96" s="1276">
        <f t="shared" ref="C96:K96" si="3">SUM(C71:C95)</f>
        <v>1588067.9005939378</v>
      </c>
      <c r="D96" s="1276">
        <f t="shared" si="3"/>
        <v>1583990</v>
      </c>
      <c r="E96" s="1276">
        <f t="shared" si="3"/>
        <v>1004944</v>
      </c>
      <c r="F96" s="1276">
        <f t="shared" si="3"/>
        <v>830796</v>
      </c>
      <c r="G96" s="1276">
        <f t="shared" si="3"/>
        <v>787669</v>
      </c>
      <c r="H96" s="1276">
        <f t="shared" si="3"/>
        <v>430358</v>
      </c>
      <c r="I96" s="1276"/>
      <c r="J96" s="1276">
        <f t="shared" si="3"/>
        <v>292651</v>
      </c>
      <c r="K96" s="1332">
        <f t="shared" si="3"/>
        <v>1045046</v>
      </c>
    </row>
    <row r="97" spans="1:11" s="400" customFormat="1" ht="23.25" customHeight="1" outlineLevel="1" x14ac:dyDescent="0.25">
      <c r="A97"/>
      <c r="I97" s="518"/>
    </row>
    <row r="98" spans="1:11" x14ac:dyDescent="0.25">
      <c r="A98"/>
      <c r="B98" s="437"/>
    </row>
    <row r="99" spans="1:11" ht="15.75" thickBot="1" x14ac:dyDescent="0.3">
      <c r="A99"/>
      <c r="B99" s="437"/>
    </row>
    <row r="100" spans="1:11" s="436" customFormat="1" ht="24.75" customHeight="1" thickBot="1" x14ac:dyDescent="0.3">
      <c r="A100"/>
      <c r="B100" s="84" t="s">
        <v>796</v>
      </c>
      <c r="C100" s="84"/>
      <c r="D100" s="84"/>
      <c r="E100" s="84"/>
      <c r="F100" s="84"/>
      <c r="G100" s="84"/>
      <c r="H100" s="84"/>
      <c r="I100" s="84"/>
      <c r="J100" s="84"/>
      <c r="K100" s="84"/>
    </row>
    <row r="101" spans="1:11" s="436" customFormat="1" ht="24.75" customHeight="1" outlineLevel="1" thickBot="1" x14ac:dyDescent="0.3">
      <c r="A101"/>
      <c r="B101" s="308" t="s">
        <v>797</v>
      </c>
      <c r="C101" s="309"/>
      <c r="D101" s="309"/>
      <c r="E101" s="309"/>
      <c r="F101" s="309"/>
      <c r="G101" s="309"/>
      <c r="H101" s="309"/>
      <c r="I101" s="309"/>
      <c r="J101" s="309"/>
      <c r="K101" s="310"/>
    </row>
    <row r="102" spans="1:11" s="375" customFormat="1" ht="17.25" customHeight="1" outlineLevel="2" x14ac:dyDescent="0.25">
      <c r="A102"/>
      <c r="B102" s="403"/>
      <c r="C102" s="1659" t="s">
        <v>637</v>
      </c>
      <c r="D102" s="1659"/>
      <c r="E102" s="1659"/>
      <c r="F102" s="1659"/>
      <c r="G102" s="1659"/>
      <c r="H102" s="1659"/>
      <c r="I102" s="1659"/>
      <c r="J102" s="1659"/>
      <c r="K102" s="1660"/>
    </row>
    <row r="103" spans="1:11" s="375" customFormat="1" ht="17.25" customHeight="1" outlineLevel="2" x14ac:dyDescent="0.25">
      <c r="A103" s="374"/>
      <c r="B103" s="315"/>
      <c r="C103" s="1661" t="s">
        <v>638</v>
      </c>
      <c r="D103" s="1661"/>
      <c r="E103" s="1661"/>
      <c r="F103" s="1661"/>
      <c r="G103" s="1661"/>
      <c r="H103" s="1661"/>
      <c r="I103" s="1661"/>
      <c r="J103" s="1661"/>
      <c r="K103" s="1662"/>
    </row>
    <row r="104" spans="1:11" s="375" customFormat="1" ht="17.25" customHeight="1" outlineLevel="2" thickBot="1" x14ac:dyDescent="0.3">
      <c r="A104" s="374"/>
      <c r="B104" s="130"/>
      <c r="C104" s="444">
        <f ca="1">dms_y1</f>
        <v>2011</v>
      </c>
      <c r="D104" s="445">
        <f ca="1">dms_y2</f>
        <v>2012</v>
      </c>
      <c r="E104" s="445">
        <f ca="1">dms_y3</f>
        <v>2013</v>
      </c>
      <c r="F104" s="445">
        <f ca="1">dms_y4</f>
        <v>2014</v>
      </c>
      <c r="G104" s="445">
        <f ca="1">dms_y5</f>
        <v>2015</v>
      </c>
      <c r="H104" s="1318">
        <f ca="1">dms_y6</f>
        <v>2016</v>
      </c>
      <c r="I104" s="1318">
        <f ca="1">dms_y7</f>
        <v>2017</v>
      </c>
      <c r="J104" s="1318">
        <f ca="1">dms_y8</f>
        <v>2018</v>
      </c>
      <c r="K104" s="1318">
        <f ca="1">dms_y9</f>
        <v>2019</v>
      </c>
    </row>
    <row r="105" spans="1:11" outlineLevel="2" x14ac:dyDescent="0.25">
      <c r="A105" s="400"/>
      <c r="B105" s="88" t="s">
        <v>671</v>
      </c>
      <c r="C105" s="360">
        <v>2385619.58</v>
      </c>
      <c r="D105" s="363">
        <v>2919219.2987845726</v>
      </c>
      <c r="E105" s="363">
        <v>2838472.47963777</v>
      </c>
      <c r="F105" s="361">
        <v>2786806.9923581318</v>
      </c>
      <c r="G105" s="362">
        <v>4544962.3651781557</v>
      </c>
      <c r="H105" s="363">
        <v>1852713.5693672872</v>
      </c>
      <c r="I105" s="363">
        <v>3756429.4166461974</v>
      </c>
      <c r="J105" s="361">
        <v>1743823.6789511358</v>
      </c>
      <c r="K105" s="364">
        <v>5419756.6894616652</v>
      </c>
    </row>
    <row r="106" spans="1:11" outlineLevel="2" x14ac:dyDescent="0.25">
      <c r="A106" s="400"/>
      <c r="B106" s="88" t="s">
        <v>692</v>
      </c>
      <c r="C106" s="370">
        <v>0</v>
      </c>
      <c r="D106" s="353">
        <v>0</v>
      </c>
      <c r="E106" s="353">
        <v>4255.7453473013938</v>
      </c>
      <c r="F106" s="354">
        <v>0</v>
      </c>
      <c r="G106" s="371">
        <v>0</v>
      </c>
      <c r="H106" s="353">
        <v>0</v>
      </c>
      <c r="I106" s="353">
        <v>0</v>
      </c>
      <c r="J106" s="354">
        <v>0</v>
      </c>
      <c r="K106" s="355">
        <v>0</v>
      </c>
    </row>
    <row r="107" spans="1:11" outlineLevel="2" x14ac:dyDescent="0.25">
      <c r="A107" s="400"/>
      <c r="B107" s="88" t="s">
        <v>693</v>
      </c>
      <c r="C107" s="370">
        <v>0</v>
      </c>
      <c r="D107" s="353">
        <v>85281.175473670533</v>
      </c>
      <c r="E107" s="353">
        <v>11461.852598998379</v>
      </c>
      <c r="F107" s="354">
        <v>529.15705370922444</v>
      </c>
      <c r="G107" s="371">
        <v>0</v>
      </c>
      <c r="H107" s="353">
        <v>0</v>
      </c>
      <c r="I107" s="353">
        <v>0</v>
      </c>
      <c r="J107" s="354">
        <v>0</v>
      </c>
      <c r="K107" s="355">
        <v>0</v>
      </c>
    </row>
    <row r="108" spans="1:11" outlineLevel="2" x14ac:dyDescent="0.25">
      <c r="A108" s="400"/>
      <c r="B108" s="88" t="s">
        <v>672</v>
      </c>
      <c r="C108" s="370">
        <v>0</v>
      </c>
      <c r="D108" s="353">
        <v>0</v>
      </c>
      <c r="E108" s="353">
        <v>0</v>
      </c>
      <c r="F108" s="354">
        <v>0</v>
      </c>
      <c r="G108" s="371">
        <v>0</v>
      </c>
      <c r="H108" s="353">
        <v>0</v>
      </c>
      <c r="I108" s="353">
        <v>0</v>
      </c>
      <c r="J108" s="354">
        <v>0</v>
      </c>
      <c r="K108" s="355">
        <v>0</v>
      </c>
    </row>
    <row r="109" spans="1:11" outlineLevel="2" x14ac:dyDescent="0.25">
      <c r="A109" s="400"/>
      <c r="B109" s="88" t="s">
        <v>673</v>
      </c>
      <c r="C109" s="370">
        <v>0</v>
      </c>
      <c r="D109" s="353">
        <v>0</v>
      </c>
      <c r="E109" s="353">
        <v>0</v>
      </c>
      <c r="F109" s="354">
        <v>0</v>
      </c>
      <c r="G109" s="371">
        <v>0</v>
      </c>
      <c r="H109" s="353">
        <v>0</v>
      </c>
      <c r="I109" s="353">
        <v>0</v>
      </c>
      <c r="J109" s="354">
        <v>0</v>
      </c>
      <c r="K109" s="355">
        <v>0</v>
      </c>
    </row>
    <row r="110" spans="1:11" outlineLevel="2" x14ac:dyDescent="0.25">
      <c r="A110" s="400"/>
      <c r="B110" s="88" t="s">
        <v>694</v>
      </c>
      <c r="C110" s="370">
        <v>0</v>
      </c>
      <c r="D110" s="353">
        <v>0</v>
      </c>
      <c r="E110" s="353">
        <v>0</v>
      </c>
      <c r="F110" s="354">
        <v>0</v>
      </c>
      <c r="G110" s="371">
        <v>0</v>
      </c>
      <c r="H110" s="353">
        <v>0</v>
      </c>
      <c r="I110" s="353">
        <v>0</v>
      </c>
      <c r="J110" s="354">
        <v>0</v>
      </c>
      <c r="K110" s="355">
        <v>0</v>
      </c>
    </row>
    <row r="111" spans="1:11" outlineLevel="2" x14ac:dyDescent="0.25">
      <c r="A111" s="400"/>
      <c r="B111" s="88" t="s">
        <v>695</v>
      </c>
      <c r="C111" s="370">
        <v>0</v>
      </c>
      <c r="D111" s="353">
        <v>0</v>
      </c>
      <c r="E111" s="353">
        <v>1384245.1505185007</v>
      </c>
      <c r="F111" s="354">
        <v>1126444.6133520484</v>
      </c>
      <c r="G111" s="371">
        <v>815722.38082898024</v>
      </c>
      <c r="H111" s="353">
        <v>270966.39171733352</v>
      </c>
      <c r="I111" s="353">
        <v>793982.72477297415</v>
      </c>
      <c r="J111" s="354">
        <v>401474.00214570423</v>
      </c>
      <c r="K111" s="355">
        <v>235698.97425869494</v>
      </c>
    </row>
    <row r="112" spans="1:11" outlineLevel="2" x14ac:dyDescent="0.25">
      <c r="A112" s="400"/>
      <c r="B112" s="88" t="s">
        <v>696</v>
      </c>
      <c r="C112" s="370">
        <v>0</v>
      </c>
      <c r="D112" s="353">
        <v>0</v>
      </c>
      <c r="E112" s="353">
        <v>0</v>
      </c>
      <c r="F112" s="354">
        <v>0</v>
      </c>
      <c r="G112" s="371">
        <v>0</v>
      </c>
      <c r="H112" s="353">
        <v>0</v>
      </c>
      <c r="I112" s="353">
        <v>0</v>
      </c>
      <c r="J112" s="354">
        <v>0</v>
      </c>
      <c r="K112" s="355">
        <v>0</v>
      </c>
    </row>
    <row r="113" spans="1:11" ht="15.75" outlineLevel="2" thickBot="1" x14ac:dyDescent="0.3">
      <c r="A113" s="400"/>
      <c r="B113" s="88" t="s">
        <v>697</v>
      </c>
      <c r="C113" s="370">
        <v>0</v>
      </c>
      <c r="D113" s="353">
        <v>86809.905741757306</v>
      </c>
      <c r="E113" s="353">
        <v>4670140.8718974292</v>
      </c>
      <c r="F113" s="354">
        <v>23389053.277236111</v>
      </c>
      <c r="G113" s="373">
        <v>293202.49399286433</v>
      </c>
      <c r="H113" s="353">
        <v>983004.35891537915</v>
      </c>
      <c r="I113" s="353">
        <v>8868469.58858083</v>
      </c>
      <c r="J113" s="354">
        <v>3742000.7689031605</v>
      </c>
      <c r="K113" s="355">
        <v>2487896.0062796399</v>
      </c>
    </row>
    <row r="114" spans="1:11" ht="15.75" outlineLevel="2" thickBot="1" x14ac:dyDescent="0.3">
      <c r="A114" s="400"/>
      <c r="B114" s="391" t="s">
        <v>640</v>
      </c>
      <c r="C114" s="392">
        <f t="shared" ref="C114:K114" si="4">SUM(C105:C113)</f>
        <v>2385619.58</v>
      </c>
      <c r="D114" s="392">
        <f t="shared" si="4"/>
        <v>3091310.3800000004</v>
      </c>
      <c r="E114" s="392">
        <f t="shared" si="4"/>
        <v>8908576.0999999996</v>
      </c>
      <c r="F114" s="392">
        <f t="shared" si="4"/>
        <v>27302834.039999999</v>
      </c>
      <c r="G114" s="392">
        <f t="shared" si="4"/>
        <v>5653887.2400000002</v>
      </c>
      <c r="H114" s="392">
        <f t="shared" si="4"/>
        <v>3106684.32</v>
      </c>
      <c r="I114" s="392">
        <f t="shared" si="4"/>
        <v>13418881.73</v>
      </c>
      <c r="J114" s="392">
        <f t="shared" si="4"/>
        <v>5887298.4500000011</v>
      </c>
      <c r="K114" s="393">
        <f t="shared" si="4"/>
        <v>8143351.6699999999</v>
      </c>
    </row>
    <row r="116" spans="1:11" ht="15.75" thickBot="1" x14ac:dyDescent="0.3"/>
    <row r="117" spans="1:11" s="436" customFormat="1" ht="24.75" customHeight="1" outlineLevel="1" thickBot="1" x14ac:dyDescent="0.25">
      <c r="A117" s="435"/>
      <c r="B117" s="308" t="s">
        <v>798</v>
      </c>
      <c r="C117" s="309"/>
      <c r="D117" s="309"/>
      <c r="E117" s="309"/>
      <c r="F117" s="309"/>
      <c r="G117" s="309"/>
      <c r="H117" s="309"/>
      <c r="I117" s="309"/>
      <c r="J117" s="309"/>
      <c r="K117" s="310"/>
    </row>
    <row r="118" spans="1:11" s="375" customFormat="1" ht="17.25" customHeight="1" outlineLevel="2" x14ac:dyDescent="0.25">
      <c r="A118" s="374"/>
      <c r="B118" s="403"/>
      <c r="C118" s="1659" t="s">
        <v>637</v>
      </c>
      <c r="D118" s="1659"/>
      <c r="E118" s="1659"/>
      <c r="F118" s="1659"/>
      <c r="G118" s="1659"/>
      <c r="H118" s="1659"/>
      <c r="I118" s="1659"/>
      <c r="J118" s="1659"/>
      <c r="K118" s="1660"/>
    </row>
    <row r="119" spans="1:11" s="375" customFormat="1" ht="17.25" customHeight="1" outlineLevel="2" x14ac:dyDescent="0.25">
      <c r="A119" s="374"/>
      <c r="B119" s="315"/>
      <c r="C119" s="1661" t="s">
        <v>638</v>
      </c>
      <c r="D119" s="1661"/>
      <c r="E119" s="1661"/>
      <c r="F119" s="1661"/>
      <c r="G119" s="1661"/>
      <c r="H119" s="1661"/>
      <c r="I119" s="1661"/>
      <c r="J119" s="1661"/>
      <c r="K119" s="1662"/>
    </row>
    <row r="120" spans="1:11" s="375" customFormat="1" ht="17.25" customHeight="1" outlineLevel="2" thickBot="1" x14ac:dyDescent="0.3">
      <c r="A120" s="374"/>
      <c r="B120" s="130"/>
      <c r="C120" s="444">
        <f ca="1">dms_y1</f>
        <v>2011</v>
      </c>
      <c r="D120" s="445">
        <f ca="1">dms_y2</f>
        <v>2012</v>
      </c>
      <c r="E120" s="445">
        <f ca="1">dms_y3</f>
        <v>2013</v>
      </c>
      <c r="F120" s="445">
        <f ca="1">dms_y4</f>
        <v>2014</v>
      </c>
      <c r="G120" s="445">
        <f ca="1">dms_y5</f>
        <v>2015</v>
      </c>
      <c r="H120" s="1318">
        <f ca="1">dms_y6</f>
        <v>2016</v>
      </c>
      <c r="I120" s="1318">
        <f ca="1">dms_y7</f>
        <v>2017</v>
      </c>
      <c r="J120" s="1318">
        <f ca="1">dms_y8</f>
        <v>2018</v>
      </c>
      <c r="K120" s="1318">
        <f ca="1">dms_y9</f>
        <v>2019</v>
      </c>
    </row>
    <row r="121" spans="1:11" outlineLevel="2" x14ac:dyDescent="0.25">
      <c r="A121" s="400"/>
      <c r="B121" s="1339" t="s">
        <v>1304</v>
      </c>
      <c r="C121" s="360">
        <v>1115891</v>
      </c>
      <c r="D121" s="363">
        <v>444498.84</v>
      </c>
      <c r="E121" s="363">
        <v>860240.21999999927</v>
      </c>
      <c r="F121" s="361">
        <v>779529.4299999997</v>
      </c>
      <c r="G121" s="362">
        <v>474600.60000000003</v>
      </c>
      <c r="H121" s="363">
        <v>120352.99999999999</v>
      </c>
      <c r="I121" s="363">
        <v>98963.999999999985</v>
      </c>
      <c r="J121" s="361">
        <v>559123.75999999989</v>
      </c>
      <c r="K121" s="364">
        <v>473220.06000000006</v>
      </c>
    </row>
    <row r="122" spans="1:11" outlineLevel="2" x14ac:dyDescent="0.25">
      <c r="A122" s="400"/>
      <c r="B122" s="1339"/>
      <c r="C122" s="370"/>
      <c r="D122" s="353"/>
      <c r="E122" s="353"/>
      <c r="F122" s="354"/>
      <c r="G122" s="371"/>
      <c r="H122" s="353"/>
      <c r="I122" s="353"/>
      <c r="J122" s="354"/>
      <c r="K122" s="355"/>
    </row>
    <row r="123" spans="1:11" s="1351" customFormat="1" outlineLevel="2" x14ac:dyDescent="0.25">
      <c r="A123" s="518"/>
      <c r="B123" s="1339"/>
      <c r="C123" s="370"/>
      <c r="D123" s="353"/>
      <c r="E123" s="353"/>
      <c r="F123" s="354"/>
      <c r="G123" s="371"/>
      <c r="H123" s="353"/>
      <c r="I123" s="353"/>
      <c r="J123" s="354"/>
      <c r="K123" s="355"/>
    </row>
    <row r="124" spans="1:11" s="1351" customFormat="1" outlineLevel="2" x14ac:dyDescent="0.25">
      <c r="A124" s="518"/>
      <c r="B124" s="1339"/>
      <c r="C124" s="370"/>
      <c r="D124" s="353"/>
      <c r="E124" s="353"/>
      <c r="F124" s="354"/>
      <c r="G124" s="371"/>
      <c r="H124" s="353"/>
      <c r="I124" s="353"/>
      <c r="J124" s="354"/>
      <c r="K124" s="355"/>
    </row>
    <row r="125" spans="1:11" s="1351" customFormat="1" outlineLevel="2" x14ac:dyDescent="0.25">
      <c r="A125" s="518"/>
      <c r="B125" s="1339"/>
      <c r="C125" s="370"/>
      <c r="D125" s="353"/>
      <c r="E125" s="353"/>
      <c r="F125" s="354"/>
      <c r="G125" s="371"/>
      <c r="H125" s="353"/>
      <c r="I125" s="353"/>
      <c r="J125" s="354"/>
      <c r="K125" s="355"/>
    </row>
    <row r="126" spans="1:11" s="1351" customFormat="1" outlineLevel="2" x14ac:dyDescent="0.25">
      <c r="A126" s="518"/>
      <c r="B126" s="1339"/>
      <c r="C126" s="370"/>
      <c r="D126" s="353"/>
      <c r="E126" s="353"/>
      <c r="F126" s="354"/>
      <c r="G126" s="371"/>
      <c r="H126" s="353"/>
      <c r="I126" s="353"/>
      <c r="J126" s="354"/>
      <c r="K126" s="355"/>
    </row>
    <row r="127" spans="1:11" s="1351" customFormat="1" outlineLevel="2" x14ac:dyDescent="0.25">
      <c r="A127" s="518"/>
      <c r="B127" s="1339"/>
      <c r="C127" s="370"/>
      <c r="D127" s="353"/>
      <c r="E127" s="353"/>
      <c r="F127" s="354"/>
      <c r="G127" s="371"/>
      <c r="H127" s="353"/>
      <c r="I127" s="353"/>
      <c r="J127" s="354"/>
      <c r="K127" s="355"/>
    </row>
    <row r="128" spans="1:11" s="1351" customFormat="1" outlineLevel="2" x14ac:dyDescent="0.25">
      <c r="A128" s="518"/>
      <c r="B128" s="1339"/>
      <c r="C128" s="370"/>
      <c r="D128" s="353"/>
      <c r="E128" s="353"/>
      <c r="F128" s="354"/>
      <c r="G128" s="371"/>
      <c r="H128" s="353"/>
      <c r="I128" s="353"/>
      <c r="J128" s="354"/>
      <c r="K128" s="355"/>
    </row>
    <row r="129" spans="1:11" s="1351" customFormat="1" outlineLevel="2" x14ac:dyDescent="0.25">
      <c r="A129" s="518"/>
      <c r="B129" s="1339"/>
      <c r="C129" s="370"/>
      <c r="D129" s="353"/>
      <c r="E129" s="353"/>
      <c r="F129" s="354"/>
      <c r="G129" s="371"/>
      <c r="H129" s="353"/>
      <c r="I129" s="353"/>
      <c r="J129" s="354"/>
      <c r="K129" s="355"/>
    </row>
    <row r="130" spans="1:11" s="1351" customFormat="1" outlineLevel="2" x14ac:dyDescent="0.25">
      <c r="A130" s="518"/>
      <c r="B130" s="1339"/>
      <c r="C130" s="370"/>
      <c r="D130" s="353"/>
      <c r="E130" s="353"/>
      <c r="F130" s="354"/>
      <c r="G130" s="371"/>
      <c r="H130" s="353"/>
      <c r="I130" s="353"/>
      <c r="J130" s="354"/>
      <c r="K130" s="355"/>
    </row>
    <row r="131" spans="1:11" s="1351" customFormat="1" outlineLevel="2" x14ac:dyDescent="0.25">
      <c r="A131" s="518"/>
      <c r="B131" s="1339"/>
      <c r="C131" s="370"/>
      <c r="D131" s="353"/>
      <c r="E131" s="353"/>
      <c r="F131" s="354"/>
      <c r="G131" s="371"/>
      <c r="H131" s="353"/>
      <c r="I131" s="353"/>
      <c r="J131" s="354"/>
      <c r="K131" s="355"/>
    </row>
    <row r="132" spans="1:11" s="1351" customFormat="1" outlineLevel="2" x14ac:dyDescent="0.25">
      <c r="A132" s="518"/>
      <c r="B132" s="1339"/>
      <c r="C132" s="370"/>
      <c r="D132" s="353"/>
      <c r="E132" s="353"/>
      <c r="F132" s="354"/>
      <c r="G132" s="371"/>
      <c r="H132" s="353"/>
      <c r="I132" s="353"/>
      <c r="J132" s="354"/>
      <c r="K132" s="355"/>
    </row>
    <row r="133" spans="1:11" s="1351" customFormat="1" outlineLevel="2" x14ac:dyDescent="0.25">
      <c r="A133" s="518"/>
      <c r="B133" s="1339"/>
      <c r="C133" s="370"/>
      <c r="D133" s="353"/>
      <c r="E133" s="353"/>
      <c r="F133" s="354"/>
      <c r="G133" s="371"/>
      <c r="H133" s="353"/>
      <c r="I133" s="353"/>
      <c r="J133" s="354"/>
      <c r="K133" s="355"/>
    </row>
    <row r="134" spans="1:11" s="1351" customFormat="1" outlineLevel="2" x14ac:dyDescent="0.25">
      <c r="A134" s="518"/>
      <c r="B134" s="1339"/>
      <c r="C134" s="370"/>
      <c r="D134" s="353"/>
      <c r="E134" s="353"/>
      <c r="F134" s="354"/>
      <c r="G134" s="371"/>
      <c r="H134" s="353"/>
      <c r="I134" s="353"/>
      <c r="J134" s="354"/>
      <c r="K134" s="355"/>
    </row>
    <row r="135" spans="1:11" s="1351" customFormat="1" outlineLevel="2" x14ac:dyDescent="0.25">
      <c r="A135" s="518"/>
      <c r="B135" s="1339"/>
      <c r="C135" s="370"/>
      <c r="D135" s="353"/>
      <c r="E135" s="353"/>
      <c r="F135" s="354"/>
      <c r="G135" s="371"/>
      <c r="H135" s="353"/>
      <c r="I135" s="353"/>
      <c r="J135" s="354"/>
      <c r="K135" s="355"/>
    </row>
    <row r="136" spans="1:11" s="1351" customFormat="1" outlineLevel="2" x14ac:dyDescent="0.25">
      <c r="A136" s="518"/>
      <c r="B136" s="1339"/>
      <c r="C136" s="370"/>
      <c r="D136" s="353"/>
      <c r="E136" s="353"/>
      <c r="F136" s="354"/>
      <c r="G136" s="371"/>
      <c r="H136" s="353"/>
      <c r="I136" s="353"/>
      <c r="J136" s="354"/>
      <c r="K136" s="355"/>
    </row>
    <row r="137" spans="1:11" s="1351" customFormat="1" outlineLevel="2" x14ac:dyDescent="0.25">
      <c r="A137" s="518"/>
      <c r="B137" s="1339"/>
      <c r="C137" s="370"/>
      <c r="D137" s="353"/>
      <c r="E137" s="353"/>
      <c r="F137" s="354"/>
      <c r="G137" s="371"/>
      <c r="H137" s="353"/>
      <c r="I137" s="353"/>
      <c r="J137" s="354"/>
      <c r="K137" s="355"/>
    </row>
    <row r="138" spans="1:11" outlineLevel="2" x14ac:dyDescent="0.25">
      <c r="A138" s="400"/>
      <c r="B138" s="1339"/>
      <c r="C138" s="370"/>
      <c r="D138" s="353"/>
      <c r="E138" s="353"/>
      <c r="F138" s="354"/>
      <c r="G138" s="371"/>
      <c r="H138" s="353"/>
      <c r="I138" s="353"/>
      <c r="J138" s="354"/>
      <c r="K138" s="355"/>
    </row>
    <row r="139" spans="1:11" outlineLevel="2" x14ac:dyDescent="0.25">
      <c r="A139" s="400"/>
      <c r="B139" s="1339"/>
      <c r="C139" s="370"/>
      <c r="D139" s="353"/>
      <c r="E139" s="353"/>
      <c r="F139" s="354"/>
      <c r="G139" s="371"/>
      <c r="H139" s="353"/>
      <c r="I139" s="353"/>
      <c r="J139" s="354"/>
      <c r="K139" s="355"/>
    </row>
    <row r="140" spans="1:11" outlineLevel="2" x14ac:dyDescent="0.25">
      <c r="A140" s="400"/>
      <c r="B140" s="1339"/>
      <c r="C140" s="370"/>
      <c r="D140" s="353"/>
      <c r="E140" s="353"/>
      <c r="F140" s="354"/>
      <c r="G140" s="371"/>
      <c r="H140" s="353"/>
      <c r="I140" s="353"/>
      <c r="J140" s="354"/>
      <c r="K140" s="355"/>
    </row>
    <row r="141" spans="1:11" outlineLevel="2" x14ac:dyDescent="0.25">
      <c r="A141" s="400"/>
      <c r="B141" s="1339"/>
      <c r="C141" s="370"/>
      <c r="D141" s="353"/>
      <c r="E141" s="353"/>
      <c r="F141" s="354"/>
      <c r="G141" s="371"/>
      <c r="H141" s="353"/>
      <c r="I141" s="353"/>
      <c r="J141" s="354"/>
      <c r="K141" s="355"/>
    </row>
    <row r="142" spans="1:11" outlineLevel="2" x14ac:dyDescent="0.25">
      <c r="A142" s="400"/>
      <c r="B142" s="1339"/>
      <c r="C142" s="370"/>
      <c r="D142" s="353"/>
      <c r="E142" s="353"/>
      <c r="F142" s="354"/>
      <c r="G142" s="371"/>
      <c r="H142" s="353"/>
      <c r="I142" s="353"/>
      <c r="J142" s="354"/>
      <c r="K142" s="355"/>
    </row>
    <row r="143" spans="1:11" outlineLevel="2" x14ac:dyDescent="0.25">
      <c r="A143" s="400"/>
      <c r="B143" s="1339"/>
      <c r="C143" s="370"/>
      <c r="D143" s="353"/>
      <c r="E143" s="353"/>
      <c r="F143" s="354"/>
      <c r="G143" s="371"/>
      <c r="H143" s="353"/>
      <c r="I143" s="353"/>
      <c r="J143" s="354"/>
      <c r="K143" s="355"/>
    </row>
    <row r="144" spans="1:11" ht="15.75" outlineLevel="2" thickBot="1" x14ac:dyDescent="0.3">
      <c r="A144" s="400"/>
      <c r="B144" s="1339"/>
      <c r="C144" s="370"/>
      <c r="D144" s="353"/>
      <c r="E144" s="353"/>
      <c r="F144" s="354"/>
      <c r="G144" s="373"/>
      <c r="H144" s="353"/>
      <c r="I144" s="353"/>
      <c r="J144" s="354"/>
      <c r="K144" s="355"/>
    </row>
    <row r="145" spans="1:11" ht="15.75" outlineLevel="2" thickBot="1" x14ac:dyDescent="0.3">
      <c r="A145" s="400"/>
      <c r="B145" s="391" t="s">
        <v>640</v>
      </c>
      <c r="C145" s="392">
        <f t="shared" ref="C145:K145" si="5">SUM(C121:C144)</f>
        <v>1115891</v>
      </c>
      <c r="D145" s="392">
        <f t="shared" si="5"/>
        <v>444498.84</v>
      </c>
      <c r="E145" s="392">
        <f t="shared" si="5"/>
        <v>860240.21999999927</v>
      </c>
      <c r="F145" s="392">
        <f t="shared" si="5"/>
        <v>779529.4299999997</v>
      </c>
      <c r="G145" s="392">
        <f t="shared" si="5"/>
        <v>474600.60000000003</v>
      </c>
      <c r="H145" s="392">
        <f t="shared" si="5"/>
        <v>120352.99999999999</v>
      </c>
      <c r="I145" s="392">
        <f t="shared" si="5"/>
        <v>98963.999999999985</v>
      </c>
      <c r="J145" s="392">
        <f t="shared" si="5"/>
        <v>559123.75999999989</v>
      </c>
      <c r="K145" s="393">
        <f t="shared" si="5"/>
        <v>473220.06000000006</v>
      </c>
    </row>
    <row r="147" spans="1:11" ht="15.75" thickBot="1" x14ac:dyDescent="0.3">
      <c r="A147"/>
    </row>
    <row r="148" spans="1:11" s="436" customFormat="1" ht="24.75" customHeight="1" thickBot="1" x14ac:dyDescent="0.3">
      <c r="A148"/>
      <c r="B148" s="84" t="s">
        <v>799</v>
      </c>
      <c r="C148" s="84"/>
      <c r="D148" s="84"/>
      <c r="E148" s="84"/>
      <c r="F148" s="84"/>
      <c r="G148" s="84"/>
      <c r="H148" s="84"/>
      <c r="I148" s="84"/>
      <c r="J148" s="84"/>
      <c r="K148" s="84"/>
    </row>
    <row r="149" spans="1:11" s="436" customFormat="1" ht="24.75" customHeight="1" outlineLevel="1" thickBot="1" x14ac:dyDescent="0.3">
      <c r="A149"/>
      <c r="B149" s="308" t="s">
        <v>800</v>
      </c>
      <c r="C149" s="309"/>
      <c r="D149" s="309"/>
      <c r="E149" s="309"/>
      <c r="F149" s="309"/>
      <c r="G149" s="309"/>
      <c r="H149" s="309"/>
      <c r="I149" s="309"/>
      <c r="J149" s="309"/>
      <c r="K149" s="310"/>
    </row>
    <row r="150" spans="1:11" s="375" customFormat="1" ht="17.25" customHeight="1" outlineLevel="2" x14ac:dyDescent="0.25">
      <c r="A150"/>
      <c r="B150" s="403"/>
      <c r="C150" s="1659" t="s">
        <v>637</v>
      </c>
      <c r="D150" s="1659"/>
      <c r="E150" s="1659"/>
      <c r="F150" s="1659"/>
      <c r="G150" s="1659"/>
      <c r="H150" s="1659"/>
      <c r="I150" s="1659"/>
      <c r="J150" s="1659"/>
      <c r="K150" s="1660"/>
    </row>
    <row r="151" spans="1:11" s="375" customFormat="1" ht="17.25" customHeight="1" outlineLevel="2" x14ac:dyDescent="0.25">
      <c r="A151"/>
      <c r="B151" s="315"/>
      <c r="C151" s="1661" t="s">
        <v>638</v>
      </c>
      <c r="D151" s="1661"/>
      <c r="E151" s="1661"/>
      <c r="F151" s="1661"/>
      <c r="G151" s="1661"/>
      <c r="H151" s="1661"/>
      <c r="I151" s="1661"/>
      <c r="J151" s="1661"/>
      <c r="K151" s="1662"/>
    </row>
    <row r="152" spans="1:11" s="375" customFormat="1" ht="17.25" customHeight="1" outlineLevel="2" thickBot="1" x14ac:dyDescent="0.3">
      <c r="A152" s="374"/>
      <c r="B152" s="130"/>
      <c r="C152" s="444">
        <f ca="1">dms_y1</f>
        <v>2011</v>
      </c>
      <c r="D152" s="445">
        <f ca="1">dms_y2</f>
        <v>2012</v>
      </c>
      <c r="E152" s="445">
        <f ca="1">dms_y3</f>
        <v>2013</v>
      </c>
      <c r="F152" s="445">
        <f ca="1">dms_y4</f>
        <v>2014</v>
      </c>
      <c r="G152" s="445">
        <f ca="1">dms_y5</f>
        <v>2015</v>
      </c>
      <c r="H152" s="1318">
        <f ca="1">dms_y6</f>
        <v>2016</v>
      </c>
      <c r="I152" s="1318">
        <f ca="1">dms_y7</f>
        <v>2017</v>
      </c>
      <c r="J152" s="1318">
        <f ca="1">dms_y8</f>
        <v>2018</v>
      </c>
      <c r="K152" s="1318">
        <f ca="1">dms_y9</f>
        <v>2019</v>
      </c>
    </row>
    <row r="153" spans="1:11" outlineLevel="2" x14ac:dyDescent="0.25">
      <c r="A153" s="400"/>
      <c r="B153" s="88" t="s">
        <v>671</v>
      </c>
      <c r="C153" s="360">
        <v>6765845.5318988711</v>
      </c>
      <c r="D153" s="363">
        <v>7990378.5791230099</v>
      </c>
      <c r="E153" s="363">
        <v>9563006.4641907457</v>
      </c>
      <c r="F153" s="361">
        <v>9475827.8667528871</v>
      </c>
      <c r="G153" s="362">
        <v>5596747.08484424</v>
      </c>
      <c r="H153" s="363">
        <v>3983287.5369832343</v>
      </c>
      <c r="I153" s="363">
        <v>2614315.5499999998</v>
      </c>
      <c r="J153" s="361">
        <v>2648046.8110336093</v>
      </c>
      <c r="K153" s="364">
        <v>1758278.4499999997</v>
      </c>
    </row>
    <row r="154" spans="1:11" outlineLevel="2" x14ac:dyDescent="0.25">
      <c r="A154" s="400"/>
      <c r="B154" s="88" t="s">
        <v>692</v>
      </c>
      <c r="C154" s="370">
        <v>1899758.9774678657</v>
      </c>
      <c r="D154" s="353">
        <v>3083749.762794333</v>
      </c>
      <c r="E154" s="353">
        <v>2115340.1995589114</v>
      </c>
      <c r="F154" s="354">
        <v>1005812.9054381817</v>
      </c>
      <c r="G154" s="371">
        <v>1005828.9708066869</v>
      </c>
      <c r="H154" s="353">
        <v>2090670.3573929931</v>
      </c>
      <c r="I154" s="353">
        <v>1695072.28</v>
      </c>
      <c r="J154" s="354">
        <v>1319913.8</v>
      </c>
      <c r="K154" s="355">
        <v>850704.84000000008</v>
      </c>
    </row>
    <row r="155" spans="1:11" outlineLevel="2" x14ac:dyDescent="0.25">
      <c r="A155" s="400"/>
      <c r="B155" s="88" t="s">
        <v>693</v>
      </c>
      <c r="C155" s="370">
        <v>444469.13931567839</v>
      </c>
      <c r="D155" s="353">
        <v>651731.33193571784</v>
      </c>
      <c r="E155" s="353">
        <v>140405.70306695285</v>
      </c>
      <c r="F155" s="354">
        <v>342694.72445189994</v>
      </c>
      <c r="G155" s="371">
        <v>418910.65876156493</v>
      </c>
      <c r="H155" s="353">
        <v>41295.50109525922</v>
      </c>
      <c r="I155" s="353">
        <v>89156.55</v>
      </c>
      <c r="J155" s="354">
        <v>19906.510000000002</v>
      </c>
      <c r="K155" s="355">
        <v>40639.849999999991</v>
      </c>
    </row>
    <row r="156" spans="1:11" outlineLevel="2" x14ac:dyDescent="0.25">
      <c r="A156" s="400"/>
      <c r="B156" s="88" t="s">
        <v>672</v>
      </c>
      <c r="C156" s="370">
        <v>64872.59586793826</v>
      </c>
      <c r="D156" s="353">
        <v>130843.325904657</v>
      </c>
      <c r="E156" s="353">
        <v>63590.698971756981</v>
      </c>
      <c r="F156" s="354">
        <v>22904.77</v>
      </c>
      <c r="G156" s="371">
        <v>185554.27134502516</v>
      </c>
      <c r="H156" s="353">
        <v>39878.516202324405</v>
      </c>
      <c r="I156" s="353">
        <v>18066.2</v>
      </c>
      <c r="J156" s="354">
        <v>42733.990000000005</v>
      </c>
      <c r="K156" s="355">
        <v>17401.75</v>
      </c>
    </row>
    <row r="157" spans="1:11" outlineLevel="2" x14ac:dyDescent="0.25">
      <c r="A157" s="400"/>
      <c r="B157" s="88" t="s">
        <v>673</v>
      </c>
      <c r="C157" s="370">
        <v>1434189.9783866582</v>
      </c>
      <c r="D157" s="353">
        <v>1874241.7656320238</v>
      </c>
      <c r="E157" s="353">
        <v>787756.83444425371</v>
      </c>
      <c r="F157" s="354">
        <v>687159.65006766398</v>
      </c>
      <c r="G157" s="371">
        <v>478906.96339195478</v>
      </c>
      <c r="H157" s="353">
        <v>397998.37647405593</v>
      </c>
      <c r="I157" s="353">
        <v>108485.06</v>
      </c>
      <c r="J157" s="354">
        <v>340164.71</v>
      </c>
      <c r="K157" s="355">
        <v>260926.44999999998</v>
      </c>
    </row>
    <row r="158" spans="1:11" outlineLevel="2" x14ac:dyDescent="0.25">
      <c r="A158" s="400"/>
      <c r="B158" s="588" t="s">
        <v>694</v>
      </c>
      <c r="C158" s="370">
        <v>246401.28211183482</v>
      </c>
      <c r="D158" s="353">
        <v>462604.32824343466</v>
      </c>
      <c r="E158" s="353">
        <v>747945.05122053367</v>
      </c>
      <c r="F158" s="354">
        <v>917749.77334582142</v>
      </c>
      <c r="G158" s="371">
        <v>549788.59583719831</v>
      </c>
      <c r="H158" s="353">
        <v>296186.67033249146</v>
      </c>
      <c r="I158" s="353">
        <v>408306.26000000007</v>
      </c>
      <c r="J158" s="354">
        <v>599335.85000000009</v>
      </c>
      <c r="K158" s="355">
        <v>438304.14999999991</v>
      </c>
    </row>
    <row r="159" spans="1:11" outlineLevel="2" x14ac:dyDescent="0.25">
      <c r="A159" s="400"/>
      <c r="B159" s="611" t="s">
        <v>697</v>
      </c>
      <c r="C159" s="394">
        <v>444668.24489709816</v>
      </c>
      <c r="D159" s="396">
        <v>473955.16902029165</v>
      </c>
      <c r="E159" s="396">
        <v>880010.63735080813</v>
      </c>
      <c r="F159" s="397">
        <v>958988.90328935464</v>
      </c>
      <c r="G159" s="395">
        <v>843358.46265718364</v>
      </c>
      <c r="H159" s="396">
        <v>541933.51588061568</v>
      </c>
      <c r="I159" s="396">
        <v>593316.44999999995</v>
      </c>
      <c r="J159" s="397">
        <v>355518.18</v>
      </c>
      <c r="K159" s="398">
        <v>75215.069999999992</v>
      </c>
    </row>
    <row r="160" spans="1:11" ht="15.75" outlineLevel="2" thickBot="1" x14ac:dyDescent="0.3">
      <c r="A160" s="400"/>
      <c r="B160" s="619" t="s">
        <v>1210</v>
      </c>
      <c r="C160" s="453">
        <f>(C111+C112)*0</f>
        <v>0</v>
      </c>
      <c r="D160" s="454">
        <f t="shared" ref="D160:K160" si="6">(D111+D112)*0</f>
        <v>0</v>
      </c>
      <c r="E160" s="454">
        <f t="shared" si="6"/>
        <v>0</v>
      </c>
      <c r="F160" s="455">
        <f t="shared" si="6"/>
        <v>0</v>
      </c>
      <c r="G160" s="1300">
        <f t="shared" si="6"/>
        <v>0</v>
      </c>
      <c r="H160" s="454">
        <f t="shared" si="6"/>
        <v>0</v>
      </c>
      <c r="I160" s="454">
        <f t="shared" si="6"/>
        <v>0</v>
      </c>
      <c r="J160" s="455">
        <f t="shared" si="6"/>
        <v>0</v>
      </c>
      <c r="K160" s="456">
        <f t="shared" si="6"/>
        <v>0</v>
      </c>
    </row>
    <row r="161" spans="1:11" ht="15.75" outlineLevel="2" thickBot="1" x14ac:dyDescent="0.3">
      <c r="A161" s="400"/>
      <c r="B161" s="457" t="s">
        <v>1209</v>
      </c>
      <c r="C161" s="392">
        <f t="shared" ref="C161:K161" si="7">SUM(C153:C159)-C160</f>
        <v>11300205.749945942</v>
      </c>
      <c r="D161" s="392">
        <f t="shared" si="7"/>
        <v>14667504.262653468</v>
      </c>
      <c r="E161" s="392">
        <f t="shared" si="7"/>
        <v>14298055.588803964</v>
      </c>
      <c r="F161" s="392">
        <f t="shared" si="7"/>
        <v>13411138.593345808</v>
      </c>
      <c r="G161" s="392">
        <f t="shared" si="7"/>
        <v>9079095.0076438542</v>
      </c>
      <c r="H161" s="392">
        <f t="shared" si="7"/>
        <v>7391250.4743609736</v>
      </c>
      <c r="I161" s="392">
        <f t="shared" si="7"/>
        <v>5526718.3499999996</v>
      </c>
      <c r="J161" s="392">
        <f t="shared" si="7"/>
        <v>5325619.8510336094</v>
      </c>
      <c r="K161" s="393">
        <f t="shared" si="7"/>
        <v>3441470.56</v>
      </c>
    </row>
    <row r="162" spans="1:11" x14ac:dyDescent="0.25">
      <c r="B162" s="437"/>
    </row>
    <row r="163" spans="1:11" ht="15.75" thickBot="1" x14ac:dyDescent="0.3">
      <c r="B163" s="437"/>
    </row>
    <row r="164" spans="1:11" s="436" customFormat="1" ht="24.75" customHeight="1" outlineLevel="1" thickBot="1" x14ac:dyDescent="0.3">
      <c r="A164" s="1326"/>
      <c r="B164" s="308" t="s">
        <v>1214</v>
      </c>
      <c r="C164" s="309"/>
      <c r="D164" s="309"/>
      <c r="E164" s="309"/>
      <c r="F164" s="309"/>
      <c r="G164" s="309"/>
      <c r="H164" s="309"/>
      <c r="I164" s="309"/>
      <c r="J164" s="309"/>
      <c r="K164" s="310"/>
    </row>
    <row r="165" spans="1:11" s="375" customFormat="1" ht="17.25" customHeight="1" outlineLevel="2" x14ac:dyDescent="0.25">
      <c r="A165" s="1326"/>
      <c r="B165" s="403"/>
      <c r="C165" s="1659" t="s">
        <v>637</v>
      </c>
      <c r="D165" s="1659"/>
      <c r="E165" s="1659"/>
      <c r="F165" s="1659"/>
      <c r="G165" s="1659"/>
      <c r="H165" s="1659"/>
      <c r="I165" s="1659"/>
      <c r="J165" s="1659"/>
      <c r="K165" s="1660"/>
    </row>
    <row r="166" spans="1:11" s="375" customFormat="1" ht="17.25" customHeight="1" outlineLevel="2" x14ac:dyDescent="0.25">
      <c r="A166" s="1326"/>
      <c r="B166" s="685"/>
      <c r="C166" s="1661" t="s">
        <v>638</v>
      </c>
      <c r="D166" s="1661"/>
      <c r="E166" s="1661"/>
      <c r="F166" s="1661"/>
      <c r="G166" s="1661"/>
      <c r="H166" s="1661"/>
      <c r="I166" s="1661"/>
      <c r="J166" s="1661"/>
      <c r="K166" s="1662"/>
    </row>
    <row r="167" spans="1:11" s="375" customFormat="1" ht="17.25" customHeight="1" outlineLevel="2" thickBot="1" x14ac:dyDescent="0.3">
      <c r="A167" s="374"/>
      <c r="B167" s="130"/>
      <c r="C167" s="444">
        <f ca="1">dms_y1</f>
        <v>2011</v>
      </c>
      <c r="D167" s="445">
        <f ca="1">dms_y2</f>
        <v>2012</v>
      </c>
      <c r="E167" s="445">
        <f ca="1">dms_y3</f>
        <v>2013</v>
      </c>
      <c r="F167" s="445">
        <f ca="1">dms_y4</f>
        <v>2014</v>
      </c>
      <c r="G167" s="445">
        <f ca="1">dms_y5</f>
        <v>2015</v>
      </c>
      <c r="H167" s="1318">
        <f ca="1">dms_y6</f>
        <v>2016</v>
      </c>
      <c r="I167" s="1318">
        <f ca="1">dms_y7</f>
        <v>2017</v>
      </c>
      <c r="J167" s="1318">
        <f ca="1">dms_y8</f>
        <v>2018</v>
      </c>
      <c r="K167" s="1318">
        <f ca="1">dms_y9</f>
        <v>2019</v>
      </c>
    </row>
    <row r="168" spans="1:11" s="1326" customFormat="1" outlineLevel="2" x14ac:dyDescent="0.25">
      <c r="A168" s="518"/>
      <c r="B168" s="1339" t="s">
        <v>1304</v>
      </c>
      <c r="C168" s="360">
        <v>200621.8581398369</v>
      </c>
      <c r="D168" s="363">
        <v>121250.56466566109</v>
      </c>
      <c r="E168" s="363">
        <v>353849.85241657239</v>
      </c>
      <c r="F168" s="361">
        <v>377708.79</v>
      </c>
      <c r="G168" s="362">
        <v>143732.44677583346</v>
      </c>
      <c r="H168" s="363">
        <v>88885.235639026941</v>
      </c>
      <c r="I168" s="363">
        <v>39738.449999999997</v>
      </c>
      <c r="J168" s="361">
        <v>55976.729999999996</v>
      </c>
      <c r="K168" s="364">
        <v>30193.77</v>
      </c>
    </row>
    <row r="169" spans="1:11" s="1351" customFormat="1" outlineLevel="2" x14ac:dyDescent="0.25">
      <c r="A169" s="518"/>
      <c r="B169" s="1339"/>
      <c r="C169" s="365"/>
      <c r="D169" s="368"/>
      <c r="E169" s="368"/>
      <c r="F169" s="366"/>
      <c r="G169" s="367"/>
      <c r="H169" s="368"/>
      <c r="I169" s="368"/>
      <c r="J169" s="366"/>
      <c r="K169" s="369"/>
    </row>
    <row r="170" spans="1:11" s="1351" customFormat="1" outlineLevel="2" x14ac:dyDescent="0.25">
      <c r="A170" s="518"/>
      <c r="B170" s="1339"/>
      <c r="C170" s="365"/>
      <c r="D170" s="368"/>
      <c r="E170" s="368"/>
      <c r="F170" s="366"/>
      <c r="G170" s="367"/>
      <c r="H170" s="368"/>
      <c r="I170" s="368"/>
      <c r="J170" s="366"/>
      <c r="K170" s="369"/>
    </row>
    <row r="171" spans="1:11" s="1351" customFormat="1" outlineLevel="2" x14ac:dyDescent="0.25">
      <c r="A171" s="518"/>
      <c r="B171" s="1339"/>
      <c r="C171" s="365"/>
      <c r="D171" s="368"/>
      <c r="E171" s="368"/>
      <c r="F171" s="366"/>
      <c r="G171" s="367"/>
      <c r="H171" s="368"/>
      <c r="I171" s="368"/>
      <c r="J171" s="366"/>
      <c r="K171" s="369"/>
    </row>
    <row r="172" spans="1:11" s="1351" customFormat="1" outlineLevel="2" x14ac:dyDescent="0.25">
      <c r="A172" s="518"/>
      <c r="B172" s="1339"/>
      <c r="C172" s="365"/>
      <c r="D172" s="368"/>
      <c r="E172" s="368"/>
      <c r="F172" s="366"/>
      <c r="G172" s="367"/>
      <c r="H172" s="368"/>
      <c r="I172" s="368"/>
      <c r="J172" s="366"/>
      <c r="K172" s="369"/>
    </row>
    <row r="173" spans="1:11" s="1351" customFormat="1" outlineLevel="2" x14ac:dyDescent="0.25">
      <c r="A173" s="518"/>
      <c r="B173" s="1339"/>
      <c r="C173" s="365"/>
      <c r="D173" s="368"/>
      <c r="E173" s="368"/>
      <c r="F173" s="366"/>
      <c r="G173" s="367"/>
      <c r="H173" s="368"/>
      <c r="I173" s="368"/>
      <c r="J173" s="366"/>
      <c r="K173" s="369"/>
    </row>
    <row r="174" spans="1:11" s="1351" customFormat="1" outlineLevel="2" x14ac:dyDescent="0.25">
      <c r="A174" s="518"/>
      <c r="B174" s="1339"/>
      <c r="C174" s="365"/>
      <c r="D174" s="368"/>
      <c r="E174" s="368"/>
      <c r="F174" s="366"/>
      <c r="G174" s="367"/>
      <c r="H174" s="368"/>
      <c r="I174" s="368"/>
      <c r="J174" s="366"/>
      <c r="K174" s="369"/>
    </row>
    <row r="175" spans="1:11" s="1351" customFormat="1" outlineLevel="2" x14ac:dyDescent="0.25">
      <c r="A175" s="518"/>
      <c r="B175" s="1339"/>
      <c r="C175" s="365"/>
      <c r="D175" s="368"/>
      <c r="E175" s="368"/>
      <c r="F175" s="366"/>
      <c r="G175" s="367"/>
      <c r="H175" s="368"/>
      <c r="I175" s="368"/>
      <c r="J175" s="366"/>
      <c r="K175" s="369"/>
    </row>
    <row r="176" spans="1:11" s="1351" customFormat="1" outlineLevel="2" x14ac:dyDescent="0.25">
      <c r="A176" s="518"/>
      <c r="B176" s="1339"/>
      <c r="C176" s="365"/>
      <c r="D176" s="368"/>
      <c r="E176" s="368"/>
      <c r="F176" s="366"/>
      <c r="G176" s="367"/>
      <c r="H176" s="368"/>
      <c r="I176" s="368"/>
      <c r="J176" s="366"/>
      <c r="K176" s="369"/>
    </row>
    <row r="177" spans="1:11" s="1351" customFormat="1" outlineLevel="2" x14ac:dyDescent="0.25">
      <c r="A177" s="518"/>
      <c r="B177" s="1339"/>
      <c r="C177" s="365"/>
      <c r="D177" s="368"/>
      <c r="E177" s="368"/>
      <c r="F177" s="366"/>
      <c r="G177" s="367"/>
      <c r="H177" s="368"/>
      <c r="I177" s="368"/>
      <c r="J177" s="366"/>
      <c r="K177" s="369"/>
    </row>
    <row r="178" spans="1:11" s="1351" customFormat="1" outlineLevel="2" x14ac:dyDescent="0.25">
      <c r="A178" s="518"/>
      <c r="B178" s="1339"/>
      <c r="C178" s="365"/>
      <c r="D178" s="368"/>
      <c r="E178" s="368"/>
      <c r="F178" s="366"/>
      <c r="G178" s="367"/>
      <c r="H178" s="368"/>
      <c r="I178" s="368"/>
      <c r="J178" s="366"/>
      <c r="K178" s="369"/>
    </row>
    <row r="179" spans="1:11" s="1351" customFormat="1" outlineLevel="2" x14ac:dyDescent="0.25">
      <c r="A179" s="518"/>
      <c r="B179" s="1339"/>
      <c r="C179" s="365"/>
      <c r="D179" s="368"/>
      <c r="E179" s="368"/>
      <c r="F179" s="366"/>
      <c r="G179" s="367"/>
      <c r="H179" s="368"/>
      <c r="I179" s="368"/>
      <c r="J179" s="366"/>
      <c r="K179" s="369"/>
    </row>
    <row r="180" spans="1:11" s="1351" customFormat="1" outlineLevel="2" x14ac:dyDescent="0.25">
      <c r="A180" s="518"/>
      <c r="B180" s="1339"/>
      <c r="C180" s="365"/>
      <c r="D180" s="368"/>
      <c r="E180" s="368"/>
      <c r="F180" s="366"/>
      <c r="G180" s="367"/>
      <c r="H180" s="368"/>
      <c r="I180" s="368"/>
      <c r="J180" s="366"/>
      <c r="K180" s="369"/>
    </row>
    <row r="181" spans="1:11" s="1351" customFormat="1" outlineLevel="2" x14ac:dyDescent="0.25">
      <c r="A181" s="518"/>
      <c r="B181" s="1339"/>
      <c r="C181" s="365"/>
      <c r="D181" s="368"/>
      <c r="E181" s="368"/>
      <c r="F181" s="366"/>
      <c r="G181" s="367"/>
      <c r="H181" s="368"/>
      <c r="I181" s="368"/>
      <c r="J181" s="366"/>
      <c r="K181" s="369"/>
    </row>
    <row r="182" spans="1:11" s="1351" customFormat="1" outlineLevel="2" x14ac:dyDescent="0.25">
      <c r="A182" s="518"/>
      <c r="B182" s="1339"/>
      <c r="C182" s="365"/>
      <c r="D182" s="368"/>
      <c r="E182" s="368"/>
      <c r="F182" s="366"/>
      <c r="G182" s="367"/>
      <c r="H182" s="368"/>
      <c r="I182" s="368"/>
      <c r="J182" s="366"/>
      <c r="K182" s="369"/>
    </row>
    <row r="183" spans="1:11" s="1351" customFormat="1" outlineLevel="2" x14ac:dyDescent="0.25">
      <c r="A183" s="518"/>
      <c r="B183" s="1339"/>
      <c r="C183" s="365"/>
      <c r="D183" s="368"/>
      <c r="E183" s="368"/>
      <c r="F183" s="366"/>
      <c r="G183" s="367"/>
      <c r="H183" s="368"/>
      <c r="I183" s="368"/>
      <c r="J183" s="366"/>
      <c r="K183" s="369"/>
    </row>
    <row r="184" spans="1:11" s="1326" customFormat="1" outlineLevel="2" x14ac:dyDescent="0.25">
      <c r="A184" s="518"/>
      <c r="B184" s="1339"/>
      <c r="C184" s="370"/>
      <c r="D184" s="353"/>
      <c r="E184" s="353"/>
      <c r="F184" s="354"/>
      <c r="G184" s="371"/>
      <c r="H184" s="353"/>
      <c r="I184" s="353"/>
      <c r="J184" s="354"/>
      <c r="K184" s="355"/>
    </row>
    <row r="185" spans="1:11" s="1326" customFormat="1" outlineLevel="2" x14ac:dyDescent="0.25">
      <c r="A185" s="518"/>
      <c r="B185" s="1339"/>
      <c r="C185" s="370"/>
      <c r="D185" s="353"/>
      <c r="E185" s="353"/>
      <c r="F185" s="354"/>
      <c r="G185" s="371"/>
      <c r="H185" s="353"/>
      <c r="I185" s="353"/>
      <c r="J185" s="354"/>
      <c r="K185" s="355"/>
    </row>
    <row r="186" spans="1:11" s="1326" customFormat="1" outlineLevel="2" x14ac:dyDescent="0.25">
      <c r="A186" s="518"/>
      <c r="B186" s="1339"/>
      <c r="C186" s="370"/>
      <c r="D186" s="353"/>
      <c r="E186" s="353"/>
      <c r="F186" s="354"/>
      <c r="G186" s="371"/>
      <c r="H186" s="353"/>
      <c r="I186" s="353"/>
      <c r="J186" s="354"/>
      <c r="K186" s="355"/>
    </row>
    <row r="187" spans="1:11" s="1326" customFormat="1" outlineLevel="2" x14ac:dyDescent="0.25">
      <c r="A187" s="518"/>
      <c r="B187" s="1339"/>
      <c r="C187" s="370"/>
      <c r="D187" s="353"/>
      <c r="E187" s="353"/>
      <c r="F187" s="354"/>
      <c r="G187" s="371"/>
      <c r="H187" s="353"/>
      <c r="I187" s="353"/>
      <c r="J187" s="354"/>
      <c r="K187" s="355"/>
    </row>
    <row r="188" spans="1:11" s="1326" customFormat="1" outlineLevel="2" x14ac:dyDescent="0.25">
      <c r="A188" s="518"/>
      <c r="B188" s="1339"/>
      <c r="C188" s="370"/>
      <c r="D188" s="353"/>
      <c r="E188" s="353"/>
      <c r="F188" s="354"/>
      <c r="G188" s="371"/>
      <c r="H188" s="353"/>
      <c r="I188" s="353"/>
      <c r="J188" s="354"/>
      <c r="K188" s="355"/>
    </row>
    <row r="189" spans="1:11" s="1326" customFormat="1" outlineLevel="2" x14ac:dyDescent="0.25">
      <c r="A189" s="518"/>
      <c r="B189" s="1327"/>
      <c r="C189" s="394"/>
      <c r="D189" s="396"/>
      <c r="E189" s="396"/>
      <c r="F189" s="397"/>
      <c r="G189" s="395"/>
      <c r="H189" s="396"/>
      <c r="I189" s="396"/>
      <c r="J189" s="397"/>
      <c r="K189" s="398"/>
    </row>
    <row r="190" spans="1:11" s="1326" customFormat="1" ht="15.75" outlineLevel="2" thickBot="1" x14ac:dyDescent="0.3">
      <c r="A190" s="518"/>
      <c r="B190" s="619" t="s">
        <v>1210</v>
      </c>
      <c r="C190" s="453">
        <v>0</v>
      </c>
      <c r="D190" s="454">
        <v>0</v>
      </c>
      <c r="E190" s="454">
        <v>0</v>
      </c>
      <c r="F190" s="455">
        <v>0</v>
      </c>
      <c r="G190" s="1300">
        <v>0</v>
      </c>
      <c r="H190" s="454">
        <v>11578.174844275332</v>
      </c>
      <c r="I190" s="454">
        <v>5437.912549207741</v>
      </c>
      <c r="J190" s="455">
        <v>26480.489343244382</v>
      </c>
      <c r="K190" s="456">
        <v>15379.827873975446</v>
      </c>
    </row>
    <row r="191" spans="1:11" s="1326" customFormat="1" ht="15.75" outlineLevel="2" thickBot="1" x14ac:dyDescent="0.3">
      <c r="A191" s="518"/>
      <c r="B191" s="457" t="s">
        <v>1209</v>
      </c>
      <c r="C191" s="392">
        <f t="shared" ref="C191:I191" si="8">SUM(C168:C189)-C190</f>
        <v>200621.8581398369</v>
      </c>
      <c r="D191" s="392">
        <f t="shared" si="8"/>
        <v>121250.56466566109</v>
      </c>
      <c r="E191" s="392">
        <f t="shared" si="8"/>
        <v>353849.85241657239</v>
      </c>
      <c r="F191" s="392">
        <f t="shared" si="8"/>
        <v>377708.79</v>
      </c>
      <c r="G191" s="392">
        <f t="shared" si="8"/>
        <v>143732.44677583346</v>
      </c>
      <c r="H191" s="392">
        <f t="shared" si="8"/>
        <v>77307.060794751611</v>
      </c>
      <c r="I191" s="392">
        <f t="shared" si="8"/>
        <v>34300.537450792253</v>
      </c>
      <c r="J191" s="392">
        <f t="shared" ref="J191:K191" si="9">SUM(J168:J189)-J190</f>
        <v>29496.240656755614</v>
      </c>
      <c r="K191" s="393">
        <f t="shared" si="9"/>
        <v>14813.942126024554</v>
      </c>
    </row>
    <row r="192" spans="1:11" s="1326" customFormat="1" x14ac:dyDescent="0.25">
      <c r="B192" s="437"/>
    </row>
  </sheetData>
  <mergeCells count="12">
    <mergeCell ref="C165:K165"/>
    <mergeCell ref="C166:K166"/>
    <mergeCell ref="C102:K102"/>
    <mergeCell ref="C9:K9"/>
    <mergeCell ref="C10:K10"/>
    <mergeCell ref="C57:K57"/>
    <mergeCell ref="C58:K58"/>
    <mergeCell ref="C103:K103"/>
    <mergeCell ref="C118:K118"/>
    <mergeCell ref="C119:K119"/>
    <mergeCell ref="C150:K150"/>
    <mergeCell ref="C151:K151"/>
  </mergeCells>
  <pageMargins left="0.7" right="0.7" top="0.75" bottom="0.75" header="0.3" footer="0.3"/>
  <pageSetup paperSize="9" orientation="portrait" r:id="rId1"/>
  <customProperties>
    <customPr name="_pios_id" r:id="rId2"/>
    <customPr name="Epm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 A C C C a n d A E R ! 1 1 2 9 2 2 1 9 . 1 < / d o c u m e n t i d >  
     < s e n d e r i d > S H O G A < / s e n d e r i d >  
     < s e n d e r e m a i l > S U S A N . H O G A N @ A E R . G O V . A U < / s e n d e r e m a i l >  
     < l a s t m o d i f i e d > 2 0 2 0 - 0 8 - 0 4 T 1 7 : 0 7 : 4 1 . 0 0 0 0 0 0 0 + 1 0 : 0 0 < / l a s t m o d i f i e d >  
     < d a t a b a s e > A C C C a n d A E R < / d a t a b a s e >  
 < / p r o p e r t i e s > 
</file>

<file path=customXml/itemProps1.xml><?xml version="1.0" encoding="utf-8"?>
<ds:datastoreItem xmlns:ds="http://schemas.openxmlformats.org/officeDocument/2006/customXml" ds:itemID="{6DF028A3-C7A2-4E99-8988-EAD5F265C077}">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615</vt:i4>
      </vt:variant>
    </vt:vector>
  </HeadingPairs>
  <TitlesOfParts>
    <vt:vector size="642" baseType="lpstr">
      <vt:lpstr>AER Sheet Heading</vt:lpstr>
      <vt:lpstr>AER CF</vt:lpstr>
      <vt:lpstr>AER NRs</vt:lpstr>
      <vt:lpstr>AER lookups</vt:lpstr>
      <vt:lpstr>AER ETL</vt:lpstr>
      <vt:lpstr>Instructions</vt:lpstr>
      <vt:lpstr>CONTENTS</vt:lpstr>
      <vt:lpstr>Business &amp; other details</vt:lpstr>
      <vt:lpstr>E1. Expenditure Summary</vt:lpstr>
      <vt:lpstr>E11. Labour</vt:lpstr>
      <vt:lpstr>E21. ARS</vt:lpstr>
      <vt:lpstr>N1. Demand</vt:lpstr>
      <vt:lpstr>N2. Network characteristics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ARR</vt:lpstr>
      <vt:lpstr>ARR_Fmt2</vt:lpstr>
      <vt:lpstr>CA</vt:lpstr>
      <vt:lpstr>CA_Fmt2</vt:lpstr>
      <vt:lpstr>Calendar</vt:lpstr>
      <vt:lpstr>CESS</vt:lpstr>
      <vt:lpstr>CESS_Fmt2</vt:lpstr>
      <vt:lpstr>CPI</vt:lpstr>
      <vt:lpstr>CPI_Fmt2</vt:lpstr>
      <vt:lpstr>CRCP_final_year</vt:lpstr>
      <vt:lpstr>CRCP_start_year</vt:lpstr>
      <vt:lpstr>CRCP_y1</vt:lpstr>
      <vt:lpstr>CRCP_y10</vt:lpstr>
      <vt:lpstr>CRCP_y11</vt:lpstr>
      <vt:lpstr>CRCP_y12</vt:lpstr>
      <vt:lpstr>CRCP_y13</vt:lpstr>
      <vt:lpstr>CRCP_y14</vt:lpstr>
      <vt:lpstr>CRCP_y15</vt:lpstr>
      <vt:lpstr>CRCP_y16</vt:lpstr>
      <vt:lpstr>CRCP_y2</vt:lpstr>
      <vt:lpstr>CRCP_y3</vt:lpstr>
      <vt:lpstr>CRCP_y4</vt:lpstr>
      <vt:lpstr>CRCP_y5</vt:lpstr>
      <vt:lpstr>CRCP_y6</vt:lpstr>
      <vt:lpstr>CRCP_y7</vt:lpstr>
      <vt:lpstr>CRCP_y8</vt:lpstr>
      <vt:lpstr>CRCP_y9</vt:lpstr>
      <vt:lpstr>CRY</vt:lpstr>
      <vt:lpstr>dms_020303_01_UOM</vt:lpstr>
      <vt:lpstr>dms_020501_01_UOM</vt:lpstr>
      <vt:lpstr>dms_020501_02_UOM</vt:lpstr>
      <vt:lpstr>dms_020501_03_UOM</vt:lpstr>
      <vt:lpstr>dms_020501_04_UOM</vt:lpstr>
      <vt:lpstr>dms_020603_01_UOM</vt:lpstr>
      <vt:lpstr>dms_020701_01_Rows</vt:lpstr>
      <vt:lpstr>dms_020701_01_UOM</vt:lpstr>
      <vt:lpstr>dms_020701_02_UOM</vt:lpstr>
      <vt:lpstr>dms_0306_Year</vt:lpstr>
      <vt:lpstr>dms_030601_01_UOM</vt:lpstr>
      <vt:lpstr>dms_030601_02_UOM</vt:lpstr>
      <vt:lpstr>dms_030605_UOM</vt:lpstr>
      <vt:lpstr>dms_03060703_UOM</vt:lpstr>
      <vt:lpstr>dms_030701_01_UOM</vt:lpstr>
      <vt:lpstr>dms_030702_01_UOM</vt:lpstr>
      <vt:lpstr>dms_030703_01_UOM</vt:lpstr>
      <vt:lpstr>dms_040102_01_UOM</vt:lpstr>
      <vt:lpstr>dms_040102_04_UOM</vt:lpstr>
      <vt:lpstr>dms_0502_Inst_Year</vt:lpstr>
      <vt:lpstr>dms_060101_Rows</vt:lpstr>
      <vt:lpstr>dms_060101_StartDateTxt</vt:lpstr>
      <vt:lpstr>dms_060101_StartDateVal</vt:lpstr>
      <vt:lpstr>dms_060102_Rows</vt:lpstr>
      <vt:lpstr>dms_0603_FeederList</vt:lpstr>
      <vt:lpstr>dms_060301_Avg_Duration_Sustained_Int_Row</vt:lpstr>
      <vt:lpstr>dms_060301_checkvalue</vt:lpstr>
      <vt:lpstr>dms_060301_CustNo_Affected_Row</vt:lpstr>
      <vt:lpstr>dms_060301_Effect_unplanned_SAIDI_Row</vt:lpstr>
      <vt:lpstr>dms_060301_Effect_unplanned_SAIFI_Row</vt:lpstr>
      <vt:lpstr>dms_060301_LastRow</vt:lpstr>
      <vt:lpstr>dms_060301_MaxRows</vt:lpstr>
      <vt:lpstr>dms_060701_ARR_MaxRows</vt:lpstr>
      <vt:lpstr>dms_060701_Feeder_Header_Lvl4</vt:lpstr>
      <vt:lpstr>dms_060701_MaxCols</vt:lpstr>
      <vt:lpstr>dms_060701_MaxRows</vt:lpstr>
      <vt:lpstr>dms_060701_OffsetRows</vt:lpstr>
      <vt:lpstr>dms_060701_Reset_MaxRows</vt:lpstr>
      <vt:lpstr>dms_060701_Rows</vt:lpstr>
      <vt:lpstr>dms_060701_StartDateTxt</vt:lpstr>
      <vt:lpstr>dms_060701_StartDateVal</vt:lpstr>
      <vt:lpstr>dms_0608_LastRow</vt:lpstr>
      <vt:lpstr>dms_0608_OffsetRows</vt:lpstr>
      <vt:lpstr>dms_060801_01_Rows</vt:lpstr>
      <vt:lpstr>dms_060801_02_Rows</vt:lpstr>
      <vt:lpstr>dms_060801_03_Rows</vt:lpstr>
      <vt:lpstr>dms_060801_04_Rows</vt:lpstr>
      <vt:lpstr>dms_060801_MaxRows</vt:lpstr>
      <vt:lpstr>dms_070904_01_Rows</vt:lpstr>
      <vt:lpstr>dms_070904_Start_Year</vt:lpstr>
      <vt:lpstr>dms_663</vt:lpstr>
      <vt:lpstr>dms_663_List</vt:lpstr>
      <vt:lpstr>dms_ABN</vt:lpstr>
      <vt:lpstr>dms_ABN_List</vt:lpstr>
      <vt:lpstr>dms_Addr1</vt:lpstr>
      <vt:lpstr>dms_Addr1_List</vt:lpstr>
      <vt:lpstr>dms_Addr2</vt:lpstr>
      <vt:lpstr>dms_Addr2_List</vt:lpstr>
      <vt:lpstr>dms_Amendment_Text</vt:lpstr>
      <vt:lpstr>dms_AmendmentReason</vt:lpstr>
      <vt:lpstr>dms_ARR</vt:lpstr>
      <vt:lpstr>dms_Beg</vt:lpstr>
      <vt:lpstr>dms_CA</vt:lpstr>
      <vt:lpstr>dms_Cal_Year_B4_CRY</vt:lpstr>
      <vt:lpstr>dms_CBD_flag</vt:lpstr>
      <vt:lpstr>dms_CBD_flag_NSP</vt:lpstr>
      <vt:lpstr>dms_CF_3.6.1</vt:lpstr>
      <vt:lpstr>dms_CF_3.6.5</vt:lpstr>
      <vt:lpstr>dms_CF_3.6.6</vt:lpstr>
      <vt:lpstr>dms_CF_3.6.7.1</vt:lpstr>
      <vt:lpstr>dms_CF_3.6.7.2</vt:lpstr>
      <vt:lpstr>dms_CF_3.6.7.3</vt:lpstr>
      <vt:lpstr>dms_CF_3.6.7.4</vt:lpstr>
      <vt:lpstr>dms_CF_3.6.8</vt:lpstr>
      <vt:lpstr>dms_CF_4.1</vt:lpstr>
      <vt:lpstr>dms_CF_4.4.1</vt:lpstr>
      <vt:lpstr>dms_CF_6.6.1</vt:lpstr>
      <vt:lpstr>dms_CF_6.8</vt:lpstr>
      <vt:lpstr>dms_CF_7.12</vt:lpstr>
      <vt:lpstr>dms_CF_8.1_A</vt:lpstr>
      <vt:lpstr>dms_CF_8.1_B</vt:lpstr>
      <vt:lpstr>dms_CF_8.1_Neg</vt:lpstr>
      <vt:lpstr>dms_CF_MAIFI_flag</vt:lpstr>
      <vt:lpstr>dms_CF_TradingName</vt:lpstr>
      <vt:lpstr>dms_Classification</vt:lpstr>
      <vt:lpstr>dms_Confid_status_List</vt:lpstr>
      <vt:lpstr>dms_ContactEmail</vt:lpstr>
      <vt:lpstr>dms_ContactEmail2</vt:lpstr>
      <vt:lpstr>dms_ContactName1</vt:lpstr>
      <vt:lpstr>dms_ContactName2</vt:lpstr>
      <vt:lpstr>dms_ContactPh1</vt:lpstr>
      <vt:lpstr>dms_ContactPh2</vt:lpstr>
      <vt:lpstr>dms_CRCP_start_row</vt:lpstr>
      <vt:lpstr>dms_CRCPlength_List</vt:lpstr>
      <vt:lpstr>dms_CRCPlength_Num</vt:lpstr>
      <vt:lpstr>dms_CRY_RYE</vt:lpstr>
      <vt:lpstr>dms_CRY_start_row</vt:lpstr>
      <vt:lpstr>dms_CRY_start_year</vt:lpstr>
      <vt:lpstr>dms_DataQuality</vt:lpstr>
      <vt:lpstr>dms_DataQuality_List</vt:lpstr>
      <vt:lpstr>dms_Defined_Names_Used</vt:lpstr>
      <vt:lpstr>dms_DeterminationRef</vt:lpstr>
      <vt:lpstr>dms_DeterminationRef_List</vt:lpstr>
      <vt:lpstr>dms_DISCARD</vt:lpstr>
      <vt:lpstr>dms_DNSP_020301_ProjectTrigger</vt:lpstr>
      <vt:lpstr>dms_DNSP_020301_ProjectType</vt:lpstr>
      <vt:lpstr>dms_DNSP_020301_SubstationType</vt:lpstr>
      <vt:lpstr>dms_DNSP_020302_ProjectTrigger</vt:lpstr>
      <vt:lpstr>dms_DNSP_020302_ProjectType</vt:lpstr>
      <vt:lpstr>dms_dollar_nom_UOM</vt:lpstr>
      <vt:lpstr>dms_DollarReal</vt:lpstr>
      <vt:lpstr>dms_DollarReal_Prev</vt:lpstr>
      <vt:lpstr>dms_DollarReal_year</vt:lpstr>
      <vt:lpstr>dms_DQ_1</vt:lpstr>
      <vt:lpstr>dms_DQ_2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dms_E050102_UOM</vt:lpstr>
      <vt:lpstr>dms_E1103_Rows</vt:lpstr>
      <vt:lpstr>dms_E110301_opex_Values</vt:lpstr>
      <vt:lpstr>dms_E110302_capex_Values</vt:lpstr>
      <vt:lpstr>dms_E2101_Rows</vt:lpstr>
      <vt:lpstr>dms_E2101_Values</vt:lpstr>
      <vt:lpstr>dms_E2103_Values</vt:lpstr>
      <vt:lpstr>dms_EB</vt:lpstr>
      <vt:lpstr>dms_EB_RAB_PIT</vt:lpstr>
      <vt:lpstr>dms_End</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dms_FeederName_1</vt:lpstr>
      <vt:lpstr>dms_FeederName_2</vt:lpstr>
      <vt:lpstr>dms_FeederName_3</vt:lpstr>
      <vt:lpstr>dms_FeederName_4</vt:lpstr>
      <vt:lpstr>dms_FeederName_5</vt:lpstr>
      <vt:lpstr>dms_FeederType_5_flag</vt:lpstr>
      <vt:lpstr>dms_FifthFeeder_flag_NSP</vt:lpstr>
      <vt:lpstr>dms_FormControl</vt:lpstr>
      <vt:lpstr>dms_FormControl_Choices</vt:lpstr>
      <vt:lpstr>dms_FormControl_List</vt:lpstr>
      <vt:lpstr>dms_FRCP_start_row</vt:lpstr>
      <vt:lpstr>dms_FRCP_y1</vt:lpstr>
      <vt:lpstr>dms_FRCPlength_List</vt:lpstr>
      <vt:lpstr>dms_FRCPlength_Num</vt:lpstr>
      <vt:lpstr>dms_Header_Span</vt:lpstr>
      <vt:lpstr>dms_Jurisdiction</vt:lpstr>
      <vt:lpstr>dms_JurisdictionList</vt:lpstr>
      <vt:lpstr>dms_LeapYear_Result</vt:lpstr>
      <vt:lpstr>dms_LongRural_flag</vt:lpstr>
      <vt:lpstr>dms_LongRural_flag_NSP</vt:lpstr>
      <vt:lpstr>dms_MAIFI_flag_List</vt:lpstr>
      <vt:lpstr>dms_Mid</vt:lpstr>
      <vt:lpstr>dms_Model</vt:lpstr>
      <vt:lpstr>dms_Model_List</vt:lpstr>
      <vt:lpstr>dms_Model_Name_Format1</vt:lpstr>
      <vt:lpstr>dms_Model_Span</vt:lpstr>
      <vt:lpstr>dms_Model_Span_List</vt:lpstr>
      <vt:lpstr>dms_Multi_RYE_flag</vt:lpstr>
      <vt:lpstr>dms_MultiYear_ABC_RIN</vt:lpstr>
      <vt:lpstr>dms_MultiYear_FinalYear_Result</vt:lpstr>
      <vt:lpstr>dms_MultiYear_Flag</vt:lpstr>
      <vt:lpstr>dms_MultiYear_ResponseFlag</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dms_N0205_AssetType</vt:lpstr>
      <vt:lpstr>dms_PAddr1</vt:lpstr>
      <vt:lpstr>dms_PAddr1_List</vt:lpstr>
      <vt:lpstr>dms_PAddr2</vt:lpstr>
      <vt:lpstr>dms_PAddr2_List</vt:lpstr>
      <vt:lpstr>dms_Partial</vt:lpstr>
      <vt:lpstr>dms_PostCode</vt:lpstr>
      <vt:lpstr>dms_PostCode_List</vt:lpstr>
      <vt:lpstr>dms_PPostCode</vt:lpstr>
      <vt:lpstr>dms_PPostCode_List</vt:lpstr>
      <vt:lpstr>dms_PRCP_start_row</vt:lpstr>
      <vt:lpstr>dms_PRCPlength_List</vt:lpstr>
      <vt:lpstr>dms_PRCPlength_Num</vt:lpstr>
      <vt:lpstr>dms_Previous_DollarReal_year</vt:lpstr>
      <vt:lpstr>dms_PState</vt:lpstr>
      <vt:lpstr>dms_PState_List</vt:lpstr>
      <vt:lpstr>dms_PSuburb</vt:lpstr>
      <vt:lpstr>dms_PSuburb_List</vt:lpstr>
      <vt:lpstr>dms_PTRM_RAB_PIT</vt:lpstr>
      <vt:lpstr>dms_PTRM_TAB_PIT</vt:lpstr>
      <vt:lpstr>dms_Public_Lighting</vt:lpstr>
      <vt:lpstr>dms_Public_Lighting_List</vt:lpstr>
      <vt:lpstr>dms_Reason_Interruption</vt:lpstr>
      <vt:lpstr>dms_Reset_final_year</vt:lpstr>
      <vt:lpstr>dms_Reset_RYE</vt:lpstr>
      <vt:lpstr>dms_Reset_Span</vt:lpstr>
      <vt:lpstr>dms_RPT</vt:lpstr>
      <vt:lpstr>dms_RPT_List</vt:lpstr>
      <vt:lpstr>dms_RPTMonth</vt:lpstr>
      <vt:lpstr>dms_RPTMonth_List</vt:lpstr>
      <vt:lpstr>dms_RYE</vt:lpstr>
      <vt:lpstr>dms_RYE_01</vt:lpstr>
      <vt:lpstr>dms_RYE_02</vt:lpstr>
      <vt:lpstr>dms_RYE_03</vt:lpstr>
      <vt:lpstr>dms_RYE_04</vt:lpstr>
      <vt:lpstr>dms_RYE_05</vt:lpstr>
      <vt:lpstr>dms_RYE_06</vt:lpstr>
      <vt:lpstr>dms_RYE_07</vt:lpstr>
      <vt:lpstr>dms_RYE_08</vt:lpstr>
      <vt:lpstr>dms_RYE_09</vt:lpstr>
      <vt:lpstr>dms_RYE_result</vt:lpstr>
      <vt:lpstr>dms_RYE_start_row</vt:lpstr>
      <vt:lpstr>dms_S010101_Rows</vt:lpstr>
      <vt:lpstr>dms_S010101_Values</vt:lpstr>
      <vt:lpstr>dms_S010102_Values</vt:lpstr>
      <vt:lpstr>dms_S010103_Values</vt:lpstr>
      <vt:lpstr>dms_S010201_Rows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dms_S140101_UOM</vt:lpstr>
      <vt:lpstr>dms_S140101_Values</vt:lpstr>
      <vt:lpstr>dms_S140102_Values</vt:lpstr>
      <vt:lpstr>dms_S140103_Values</vt:lpstr>
      <vt:lpstr>dms_S140201_Rows</vt:lpstr>
      <vt:lpstr>dms_S140201_Values</vt:lpstr>
      <vt:lpstr>dms_Sector</vt:lpstr>
      <vt:lpstr>dms_Sector_List</vt:lpstr>
      <vt:lpstr>dms_Segment</vt:lpstr>
      <vt:lpstr>dms_Segment_List</vt:lpstr>
      <vt:lpstr>dms_Selected_Quality</vt:lpstr>
      <vt:lpstr>dms_Selected_Source</vt:lpstr>
      <vt:lpstr>dms_Selected_Status</vt:lpstr>
      <vt:lpstr>dms_ShortRural_flag</vt:lpstr>
      <vt:lpstr>dms_ShortRural_flag_NSP</vt:lpstr>
      <vt:lpstr>dms_SingleYear_FinalYear_Result</vt:lpstr>
      <vt:lpstr>dms_SingleYear_Model</vt:lpstr>
      <vt:lpstr>dms_SingleYearModel</vt:lpstr>
      <vt:lpstr>dms_Source</vt:lpstr>
      <vt:lpstr>dms_SourceList</vt:lpstr>
      <vt:lpstr>dms_Specified_FinalYear</vt:lpstr>
      <vt:lpstr>dms_Specified_RYE</vt:lpstr>
      <vt:lpstr>dms_SpecifiedYear_final_year</vt:lpstr>
      <vt:lpstr>dms_SpecifiedYear_Span</vt:lpstr>
      <vt:lpstr>dms_start_year</vt:lpstr>
      <vt:lpstr>dms_State</vt:lpstr>
      <vt:lpstr>dms_State_List</vt:lpstr>
      <vt:lpstr>dms_STPIS_Exclusion_List</vt:lpstr>
      <vt:lpstr>dms_SubmissionDate</vt:lpstr>
      <vt:lpstr>dms_Suburb</vt:lpstr>
      <vt:lpstr>dms_Suburb_List</vt:lpstr>
      <vt:lpstr>dms_TemplateNumber</vt:lpstr>
      <vt:lpstr>dms_TNSP_0203_ProjectTrigger</vt:lpstr>
      <vt:lpstr>dms_TNSP_0203_SubstationType</vt:lpstr>
      <vt:lpstr>dms_TNSP_020301_ProjectTrigger</vt:lpstr>
      <vt:lpstr>dms_TNSP_020301_ProjectType</vt:lpstr>
      <vt:lpstr>dms_TNSP_020302_ProjectType</vt:lpstr>
      <vt:lpstr>dms_Today</vt:lpstr>
      <vt:lpstr>dms_TradingName</vt:lpstr>
      <vt:lpstr>dms_TradingName_List</vt:lpstr>
      <vt:lpstr>dms_TradingNameFull</vt:lpstr>
      <vt:lpstr>dms_TradingNameFull_List</vt:lpstr>
      <vt:lpstr>dms_Typed_Submission_Date</vt:lpstr>
      <vt:lpstr>dms_Urban_flag</vt:lpstr>
      <vt:lpstr>dms_Urban_flag_NSP</vt:lpstr>
      <vt:lpstr>dms_Worksheet_List</vt:lpstr>
      <vt:lpstr>DMS_Xfactor</vt:lpstr>
      <vt:lpstr>dms_y1</vt:lpstr>
      <vt:lpstr>dms_y10</vt:lpstr>
      <vt:lpstr>dms_y11</vt:lpstr>
      <vt:lpstr>dms_y12</vt:lpstr>
      <vt:lpstr>dms_y13</vt:lpstr>
      <vt:lpstr>dms_y14</vt:lpstr>
      <vt:lpstr>dms_y15</vt:lpstr>
      <vt:lpstr>dms_y16</vt:lpstr>
      <vt:lpstr>dms_y2</vt:lpstr>
      <vt:lpstr>dms_y3</vt:lpstr>
      <vt:lpstr>dms_y4</vt:lpstr>
      <vt:lpstr>dms_y5</vt:lpstr>
      <vt:lpstr>dms_y6</vt:lpstr>
      <vt:lpstr>dms_y7</vt:lpstr>
      <vt:lpstr>dms_y8</vt:lpstr>
      <vt:lpstr>dms_y9</vt:lpstr>
      <vt:lpstr>EB</vt:lpstr>
      <vt:lpstr>EB_Fmt2</vt:lpstr>
      <vt:lpstr>F90101_Rows</vt:lpstr>
      <vt:lpstr>F90101_Values</vt:lpstr>
      <vt:lpstr>Financial</vt:lpstr>
      <vt:lpstr>FRCP_final_year</vt:lpstr>
      <vt:lpstr>FRCP_start_year</vt:lpstr>
      <vt:lpstr>FRCP_y1</vt:lpstr>
      <vt:lpstr>FRCP_y10</vt:lpstr>
      <vt:lpstr>FRCP_y11</vt:lpstr>
      <vt:lpstr>FRCP_y12</vt:lpstr>
      <vt:lpstr>FRCP_y13</vt:lpstr>
      <vt:lpstr>FRCP_y14</vt:lpstr>
      <vt:lpstr>FRCP_y15</vt:lpstr>
      <vt:lpstr>FRCP_y16</vt:lpstr>
      <vt:lpstr>FRCP_y2</vt:lpstr>
      <vt:lpstr>FRCP_y3</vt:lpstr>
      <vt:lpstr>FRCP_y4</vt:lpstr>
      <vt:lpstr>FRCP_y5</vt:lpstr>
      <vt:lpstr>FRCP_y6</vt:lpstr>
      <vt:lpstr>FRCP_y7</vt:lpstr>
      <vt:lpstr>FRCP_y8</vt:lpstr>
      <vt:lpstr>FRCP_y9</vt:lpstr>
      <vt:lpstr>FRY</vt:lpstr>
      <vt:lpstr>JurisdictionList</vt:lpstr>
      <vt:lpstr>MAIFI_flag</vt:lpstr>
      <vt:lpstr>PRCP_final_year</vt:lpstr>
      <vt:lpstr>PRCP_start_year</vt:lpstr>
      <vt:lpstr>PRCP_y1</vt:lpstr>
      <vt:lpstr>PRCP_y10</vt:lpstr>
      <vt:lpstr>PRCP_y11</vt:lpstr>
      <vt:lpstr>PRCP_y12</vt:lpstr>
      <vt:lpstr>PRCP_y13</vt:lpstr>
      <vt:lpstr>PRCP_y14</vt:lpstr>
      <vt:lpstr>PRCP_y15</vt:lpstr>
      <vt:lpstr>PRCP_y16</vt:lpstr>
      <vt:lpstr>PRCP_y2</vt:lpstr>
      <vt:lpstr>PRCP_y3</vt:lpstr>
      <vt:lpstr>PRCP_y4</vt:lpstr>
      <vt:lpstr>PRCP_y5</vt:lpstr>
      <vt:lpstr>PRCP_y6</vt:lpstr>
      <vt:lpstr>PRCP_y7</vt:lpstr>
      <vt:lpstr>PRCP_y8</vt:lpstr>
      <vt:lpstr>PRCP_y9</vt:lpstr>
      <vt:lpstr>Pricing</vt:lpstr>
      <vt:lpstr>Pricing_Fmt2</vt:lpstr>
      <vt:lpstr>PTRM</vt:lpstr>
      <vt:lpstr>PTRM_Fmt2</vt:lpstr>
      <vt:lpstr>Reset</vt:lpstr>
      <vt:lpstr>Reset_Fmt2</vt:lpstr>
      <vt:lpstr>RFM</vt:lpstr>
      <vt:lpstr>RFM_Fmt2</vt:lpstr>
      <vt:lpstr>Sector</vt:lpstr>
      <vt:lpstr>Segment</vt:lpstr>
      <vt:lpstr>WACC</vt:lpstr>
      <vt:lpstr>WACC_Fmt2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2021-05-14T02:20:31Z</dcterms:created>
  <dcterms:modified xsi:type="dcterms:W3CDTF">2021-05-14T02:23:28Z</dcterms:modified>
  <cp:category/>
  <cp:contentStatus/>
</cp:coreProperties>
</file>