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filterPrivacy="1"/>
  <xr:revisionPtr revIDLastSave="0" documentId="8_{683C5706-A1FF-4221-A0AC-85CD9B4DEC96}" xr6:coauthVersionLast="45" xr6:coauthVersionMax="45" xr10:uidLastSave="{00000000-0000-0000-0000-000000000000}"/>
  <bookViews>
    <workbookView xWindow="-120" yWindow="-120" windowWidth="29040" windowHeight="15840" activeTab="3" xr2:uid="{00000000-000D-0000-FFFF-FFFF00000000}"/>
  </bookViews>
  <sheets>
    <sheet name="Bushfire PT" sheetId="1" r:id="rId1"/>
    <sheet name="Escalators" sheetId="3" r:id="rId2"/>
    <sheet name="Links" sheetId="2" r:id="rId3"/>
    <sheet name="Actual costs - reviewed by KPMG" sheetId="4" r:id="rId4"/>
  </sheets>
  <externalReferences>
    <externalReference r:id="rId5"/>
  </externalReferences>
  <definedNames>
    <definedName name="CP_Yr_4">[1]START!$D$13</definedName>
    <definedName name="CP_Yr_5">[1]START!$E$13</definedName>
    <definedName name="Stub">[1]START!$F$13</definedName>
    <definedName name="Yr_1">[1]START!$G$13</definedName>
    <definedName name="Yr_2">[1]START!$H$13</definedName>
    <definedName name="Yr_3">[1]START!$I$13</definedName>
    <definedName name="Yr_4">[1]START!$J$13</definedName>
    <definedName name="Yr_5">[1]START!$K$13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6" i="4" l="1"/>
  <c r="I16" i="4"/>
  <c r="H16" i="4"/>
  <c r="G16" i="4"/>
  <c r="F16" i="4"/>
  <c r="E16" i="4"/>
  <c r="K14" i="4"/>
  <c r="K13" i="4"/>
  <c r="K12" i="4"/>
  <c r="K11" i="4"/>
  <c r="K10" i="4"/>
  <c r="K9" i="4"/>
  <c r="K8" i="4"/>
  <c r="K7" i="4"/>
  <c r="K6" i="4"/>
  <c r="K5" i="4"/>
  <c r="D4" i="4"/>
  <c r="K4" i="4"/>
  <c r="K16" i="4"/>
  <c r="K3" i="4"/>
  <c r="D16" i="4"/>
  <c r="I30" i="1"/>
  <c r="J30" i="1"/>
  <c r="K30" i="1"/>
  <c r="L30" i="1"/>
  <c r="M30" i="1"/>
  <c r="M29" i="1"/>
  <c r="K29" i="1"/>
  <c r="I29" i="1"/>
  <c r="M26" i="1"/>
  <c r="L26" i="1"/>
  <c r="K26" i="1"/>
  <c r="J26" i="1"/>
  <c r="I26" i="1"/>
  <c r="H26" i="1"/>
  <c r="G26" i="1"/>
  <c r="P15" i="3"/>
  <c r="Q15" i="3"/>
  <c r="R15" i="3"/>
  <c r="N15" i="3"/>
  <c r="M15" i="3"/>
  <c r="L15" i="3"/>
  <c r="K15" i="3"/>
  <c r="G80" i="1"/>
  <c r="H45" i="1"/>
  <c r="I44" i="1"/>
  <c r="J44" i="1"/>
  <c r="K44" i="1"/>
  <c r="L44" i="1"/>
  <c r="M44" i="1"/>
  <c r="G44" i="1"/>
  <c r="Q13" i="3"/>
  <c r="R13" i="3"/>
  <c r="S13" i="3"/>
  <c r="T13" i="3"/>
  <c r="U13" i="3"/>
  <c r="V13" i="3"/>
  <c r="P13" i="3"/>
  <c r="H44" i="1"/>
  <c r="O18" i="3"/>
  <c r="N18" i="3"/>
  <c r="M18" i="3"/>
  <c r="L18" i="3"/>
  <c r="K18" i="3"/>
  <c r="E6" i="3"/>
  <c r="F6" i="3"/>
  <c r="G6" i="3"/>
  <c r="H6" i="3"/>
  <c r="I6" i="3"/>
  <c r="O17" i="3"/>
  <c r="N17" i="3"/>
  <c r="M17" i="3"/>
  <c r="L17" i="3"/>
  <c r="K17" i="3"/>
  <c r="Q10" i="3"/>
  <c r="Q14" i="3"/>
  <c r="I45" i="1"/>
  <c r="O10" i="3"/>
  <c r="N10" i="3"/>
  <c r="M10" i="3"/>
  <c r="L10" i="3"/>
  <c r="K10" i="3"/>
  <c r="R9" i="3"/>
  <c r="L6" i="3"/>
  <c r="M6" i="3"/>
  <c r="N6" i="3"/>
  <c r="O6" i="3"/>
  <c r="Q6" i="3"/>
  <c r="R6" i="3"/>
  <c r="S6" i="3"/>
  <c r="T6" i="3"/>
  <c r="U6" i="3"/>
  <c r="V6" i="3"/>
  <c r="J21" i="3"/>
  <c r="K11" i="3"/>
  <c r="L11" i="3"/>
  <c r="M11" i="3"/>
  <c r="N11" i="3"/>
  <c r="O11" i="3"/>
  <c r="R14" i="3"/>
  <c r="J45" i="1"/>
  <c r="N12" i="3"/>
  <c r="O12" i="3"/>
  <c r="P17" i="3"/>
  <c r="S9" i="3"/>
  <c r="P10" i="3"/>
  <c r="R17" i="3"/>
  <c r="I63" i="1"/>
  <c r="J63" i="1"/>
  <c r="K63" i="1"/>
  <c r="L63" i="1"/>
  <c r="M63" i="1"/>
  <c r="I64" i="1"/>
  <c r="J64" i="1"/>
  <c r="K64" i="1"/>
  <c r="L64" i="1"/>
  <c r="M64" i="1"/>
  <c r="I61" i="1"/>
  <c r="J61" i="1"/>
  <c r="K61" i="1"/>
  <c r="L61" i="1"/>
  <c r="M61" i="1"/>
  <c r="C48" i="1"/>
  <c r="C49" i="1"/>
  <c r="C50" i="1"/>
  <c r="C51" i="1"/>
  <c r="C52" i="1"/>
  <c r="C53" i="1"/>
  <c r="C54" i="1"/>
  <c r="C55" i="1"/>
  <c r="C56" i="1"/>
  <c r="C57" i="1"/>
  <c r="C58" i="1"/>
  <c r="C59" i="1"/>
  <c r="C21" i="1"/>
  <c r="C22" i="1"/>
  <c r="C23" i="1"/>
  <c r="C26" i="1"/>
  <c r="C29" i="1"/>
  <c r="C30" i="1"/>
  <c r="C31" i="1"/>
  <c r="C32" i="1"/>
  <c r="P11" i="3"/>
  <c r="Q12" i="3"/>
  <c r="R12" i="3"/>
  <c r="S12" i="3"/>
  <c r="T12" i="3"/>
  <c r="U12" i="3"/>
  <c r="V12" i="3"/>
  <c r="P12" i="3"/>
  <c r="O16" i="3"/>
  <c r="N16" i="3"/>
  <c r="M16" i="3"/>
  <c r="O14" i="3"/>
  <c r="G45" i="1"/>
  <c r="S17" i="3"/>
  <c r="T9" i="3"/>
  <c r="S14" i="3"/>
  <c r="K45" i="1"/>
  <c r="Q11" i="3"/>
  <c r="R11" i="3"/>
  <c r="S11" i="3"/>
  <c r="T11" i="3"/>
  <c r="U11" i="3"/>
  <c r="V11" i="3"/>
  <c r="P18" i="3"/>
  <c r="L16" i="3"/>
  <c r="K16" i="3"/>
  <c r="J16" i="3"/>
  <c r="T14" i="3"/>
  <c r="L45" i="1"/>
  <c r="U9" i="3"/>
  <c r="T17" i="3"/>
  <c r="N41" i="1"/>
  <c r="N40" i="1"/>
  <c r="N39" i="1"/>
  <c r="V9" i="3"/>
  <c r="U17" i="3"/>
  <c r="U14" i="3"/>
  <c r="M45" i="1"/>
  <c r="V14" i="3"/>
  <c r="V17" i="3"/>
  <c r="N42" i="1"/>
  <c r="M17" i="1"/>
  <c r="L17" i="1"/>
  <c r="K17" i="1"/>
  <c r="J17" i="1"/>
  <c r="I17" i="1"/>
  <c r="H17" i="1"/>
  <c r="H49" i="1" a="1"/>
  <c r="H49" i="1"/>
  <c r="H57" i="1" a="1"/>
  <c r="H57" i="1"/>
  <c r="H50" i="1" a="1"/>
  <c r="H50" i="1"/>
  <c r="H59" i="1" a="1"/>
  <c r="H59" i="1"/>
  <c r="H56" i="1" a="1"/>
  <c r="H56" i="1"/>
  <c r="H55" i="1" a="1"/>
  <c r="H55" i="1"/>
  <c r="H53" i="1" a="1"/>
  <c r="H53" i="1"/>
  <c r="H52" i="1" a="1"/>
  <c r="H52" i="1"/>
  <c r="H48" i="1" a="1"/>
  <c r="H48" i="1"/>
  <c r="H54" i="1" a="1"/>
  <c r="H54" i="1"/>
  <c r="H58" i="1" a="1"/>
  <c r="H58" i="1"/>
  <c r="H51" i="1" a="1"/>
  <c r="H51" i="1"/>
  <c r="N31" i="1"/>
  <c r="N30" i="1"/>
  <c r="N29" i="1"/>
  <c r="N28" i="1"/>
  <c r="N27" i="1"/>
  <c r="N26" i="1"/>
  <c r="N25" i="1"/>
  <c r="N24" i="1"/>
  <c r="N23" i="1"/>
  <c r="N22" i="1"/>
  <c r="N21" i="1"/>
  <c r="N14" i="1"/>
  <c r="N13" i="1"/>
  <c r="N12" i="1"/>
  <c r="N11" i="1"/>
  <c r="N10" i="1"/>
  <c r="N9" i="1"/>
  <c r="N8" i="1"/>
  <c r="N7" i="1"/>
  <c r="N6" i="1"/>
  <c r="N5" i="1"/>
  <c r="N4" i="1"/>
  <c r="H64" i="1"/>
  <c r="E12" i="2"/>
  <c r="H63" i="1"/>
  <c r="E11" i="2"/>
  <c r="H61" i="1"/>
  <c r="G17" i="1"/>
  <c r="G51" i="1" a="1"/>
  <c r="G51" i="1"/>
  <c r="G52" i="1" a="1"/>
  <c r="G52" i="1"/>
  <c r="G55" i="1" a="1"/>
  <c r="G55" i="1"/>
  <c r="G56" i="1" a="1"/>
  <c r="G56" i="1"/>
  <c r="G59" i="1" a="1"/>
  <c r="G59" i="1"/>
  <c r="G50" i="1" a="1"/>
  <c r="G50" i="1"/>
  <c r="G53" i="1" a="1"/>
  <c r="G53" i="1"/>
  <c r="G49" i="1" a="1"/>
  <c r="G49" i="1"/>
  <c r="G58" i="1" a="1"/>
  <c r="G58" i="1"/>
  <c r="G57" i="1" a="1"/>
  <c r="G57" i="1"/>
  <c r="G48" i="1" a="1"/>
  <c r="G48" i="1"/>
  <c r="G54" i="1" a="1"/>
  <c r="G54" i="1"/>
  <c r="N15" i="1"/>
  <c r="N34" i="1"/>
  <c r="E6" i="2"/>
  <c r="E7" i="2"/>
  <c r="G61" i="1"/>
  <c r="G63" i="1"/>
  <c r="G64" i="1"/>
  <c r="N17" i="1"/>
  <c r="D7" i="2"/>
  <c r="D12" i="2"/>
  <c r="D11" i="2"/>
  <c r="D6" i="2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<sst xmlns="http://schemas.openxmlformats.org/spreadsheetml/2006/main" count="186" uniqueCount="72">
  <si>
    <t>Item</t>
  </si>
  <si>
    <t>Category</t>
  </si>
  <si>
    <t>Stub</t>
  </si>
  <si>
    <t>Internal Timesheeting / Emergency / Corrective works</t>
  </si>
  <si>
    <t>Vegetation Management - Internal</t>
  </si>
  <si>
    <t>Vegetation Management - Active Tree works</t>
  </si>
  <si>
    <t>Z001 Capex Replacement works</t>
  </si>
  <si>
    <t>General Capex - small generators</t>
  </si>
  <si>
    <t>General Capex - veg tablets</t>
  </si>
  <si>
    <t>OPEX</t>
  </si>
  <si>
    <t>CAPEX</t>
  </si>
  <si>
    <t>Total</t>
  </si>
  <si>
    <t>Notes</t>
  </si>
  <si>
    <t>Asset Inspection - Aerial</t>
  </si>
  <si>
    <t>Asset Inspection - Ground</t>
  </si>
  <si>
    <t>BAU</t>
  </si>
  <si>
    <t>6 yearly inspection cycle</t>
  </si>
  <si>
    <t>No change to aerial inspection program</t>
  </si>
  <si>
    <t>Not required under BAU</t>
  </si>
  <si>
    <t>Poles</t>
  </si>
  <si>
    <t>Crossarms</t>
  </si>
  <si>
    <t>Conductor</t>
  </si>
  <si>
    <t>Vibration Dampers</t>
  </si>
  <si>
    <t>Distribution Transformers</t>
  </si>
  <si>
    <t>We don't replace VD's pro-actively</t>
  </si>
  <si>
    <t>No overlap with conductor strategy</t>
  </si>
  <si>
    <t>Will use equipment in the future, assumed evenly split over 5 years</t>
  </si>
  <si>
    <t>Purchase 10 units in years 1, 3 and 5 of reg period.  High end estimate of what we would purchase.</t>
  </si>
  <si>
    <t>Included in ongoing below</t>
  </si>
  <si>
    <t>Breakdown below</t>
  </si>
  <si>
    <t>Included in Z001 above</t>
  </si>
  <si>
    <t>Included Generator Packs extracted by Chris Braconi</t>
  </si>
  <si>
    <t>12 DT's replaced are in condition 1 to 3 so not targeted for EDPR replacement.</t>
  </si>
  <si>
    <t>3 Pole termite retests in Feb 2020.  Pr cost incurred at next inspection x ave replacement cost (wood and concrete separate rates).</t>
  </si>
  <si>
    <t>Updated with SAP data</t>
  </si>
  <si>
    <t>NT entries in timesheeting projects</t>
  </si>
  <si>
    <t>BAU Replacement Breakdown</t>
  </si>
  <si>
    <t>Availablity paid regardless, same as BAU</t>
  </si>
  <si>
    <t>Include</t>
  </si>
  <si>
    <t>Y</t>
  </si>
  <si>
    <t>N</t>
  </si>
  <si>
    <t>Capex</t>
  </si>
  <si>
    <t>Opex</t>
  </si>
  <si>
    <t>Escalators</t>
  </si>
  <si>
    <t>Table of Contents</t>
  </si>
  <si>
    <t>CPI Escalation</t>
  </si>
  <si>
    <t>Table 1 - CPI Indexes</t>
  </si>
  <si>
    <t>Actual</t>
  </si>
  <si>
    <t>Forecast</t>
  </si>
  <si>
    <t>Applies to year</t>
  </si>
  <si>
    <t>End 2020</t>
  </si>
  <si>
    <t>CPI - 8 cities - Jun Qtr, 1yr lagged</t>
  </si>
  <si>
    <t>CPI movement - 8 Capital Cities</t>
  </si>
  <si>
    <t>End $2020 to Nominal</t>
  </si>
  <si>
    <t>Index - Nominal to End $2020</t>
  </si>
  <si>
    <t>Index - Nominal to $2021</t>
  </si>
  <si>
    <t>source: actual CPI to Jun-19 Qtr, forecast CPI for 6 months to June 2021 (6 month Proposal PTRM) and forecast CPI for FY22-26 (Proposal PTRM model - 2022-26)</t>
  </si>
  <si>
    <t>End $2015 to Mid Year $2018</t>
  </si>
  <si>
    <t>Index - Nominal to $2015</t>
  </si>
  <si>
    <t>2021 Stub</t>
  </si>
  <si>
    <t>$Nominal</t>
  </si>
  <si>
    <t>$2015</t>
  </si>
  <si>
    <t>$Real</t>
  </si>
  <si>
    <t>$2020</t>
  </si>
  <si>
    <t>Index - Nominal to $2020</t>
  </si>
  <si>
    <t>$2020 to Nominal</t>
  </si>
  <si>
    <t>$2015 to Nominal</t>
  </si>
  <si>
    <t>$2018 to Nominal</t>
  </si>
  <si>
    <t>$2020 to $Nominal</t>
  </si>
  <si>
    <t>$2021 to $Nominal</t>
  </si>
  <si>
    <t>Net ($Nominal)</t>
  </si>
  <si>
    <t>Additional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</si>
</sst>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6" formatCode="&quot;$&quot;#,##0;[Red]\-&quot;$&quot;#,##0"/>
    <numFmt numFmtId="44" formatCode="_-&quot;$&quot;* #,##0.00_-;\-&quot;$&quot;* #,##0.00_-;_-&quot;$&quot;* &quot;-&quot;??_-;_-@_-"/>
    <numFmt numFmtId="164" formatCode="_(#,##0_);\(#,##0\);_(&quot;-&quot;_);_)@_)"/>
    <numFmt numFmtId="165" formatCode="0.0"/>
    <numFmt numFmtId="166" formatCode="0.000"/>
    <numFmt numFmtId="167" formatCode="0.0000"/>
    <numFmt numFmtId="168" formatCode="_(#,##0.000_);\(#,##0.000\);_(&quot;-&quot;_);_)@_)"/>
    <numFmt numFmtId="169" formatCode="_-&quot;$&quot;* #,##0.000_-;\-&quot;$&quot;* #,##0.000_-;_-&quot;$&quot;* &quot;-&quot;?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rgb="FF002060"/>
      <name val="Calibri"/>
      <family val="2"/>
      <scheme val="minor"/>
    </font>
    <font>
      <u/>
      <sz val="10"/>
      <color theme="10"/>
      <name val="Calibri"/>
      <family val="2"/>
      <scheme val="minor"/>
    </font>
    <font>
      <i/>
      <sz val="11"/>
      <color theme="3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51">
    <xf numFmtId="0" fontId="0" fillId="0" borderId="0" xfId="0"/>
    <xf numFmtId="44" fontId="0" fillId="0" borderId="0" xfId="1" applyFont="1"/>
    <xf numFmtId="44" fontId="0" fillId="0" borderId="0" xfId="0" applyNumberFormat="1"/>
    <xf numFmtId="0" fontId="0" fillId="0" borderId="1" xfId="0" applyBorder="1"/>
    <xf numFmtId="44" fontId="0" fillId="0" borderId="1" xfId="1" applyFont="1" applyBorder="1"/>
    <xf numFmtId="44" fontId="0" fillId="0" borderId="0" xfId="1" applyFont="1" applyFill="1"/>
    <xf numFmtId="0" fontId="0" fillId="0" borderId="0" xfId="0" applyAlignment="1">
      <alignment horizontal="left"/>
    </xf>
    <xf numFmtId="44" fontId="0" fillId="0" borderId="1" xfId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164" fontId="0" fillId="0" borderId="0" xfId="0" applyNumberFormat="1"/>
    <xf numFmtId="0" fontId="0" fillId="0" borderId="2" xfId="0" applyBorder="1"/>
    <xf numFmtId="0" fontId="0" fillId="0" borderId="2" xfId="0" applyBorder="1" applyAlignment="1">
      <alignment horizontal="center"/>
    </xf>
    <xf numFmtId="164" fontId="2" fillId="0" borderId="2" xfId="0" applyNumberFormat="1" applyFont="1" applyBorder="1"/>
    <xf numFmtId="0" fontId="2" fillId="0" borderId="2" xfId="0" applyFont="1" applyBorder="1"/>
    <xf numFmtId="0" fontId="2" fillId="0" borderId="0" xfId="0" applyFont="1" applyAlignment="1">
      <alignment horizontal="center"/>
    </xf>
    <xf numFmtId="44" fontId="2" fillId="0" borderId="0" xfId="1" applyFont="1"/>
    <xf numFmtId="44" fontId="2" fillId="0" borderId="0" xfId="0" applyNumberFormat="1" applyFont="1"/>
    <xf numFmtId="0" fontId="4" fillId="2" borderId="0" xfId="0" applyFont="1" applyFill="1"/>
    <xf numFmtId="0" fontId="0" fillId="2" borderId="0" xfId="0" applyFill="1"/>
    <xf numFmtId="0" fontId="5" fillId="2" borderId="0" xfId="3" applyFont="1" applyFill="1"/>
    <xf numFmtId="0" fontId="2" fillId="2" borderId="0" xfId="0" applyFont="1" applyFill="1"/>
    <xf numFmtId="17" fontId="0" fillId="2" borderId="0" xfId="0" applyNumberFormat="1" applyFill="1" applyAlignment="1">
      <alignment horizontal="center"/>
    </xf>
    <xf numFmtId="0" fontId="0" fillId="2" borderId="3" xfId="0" applyFill="1" applyBorder="1"/>
    <xf numFmtId="17" fontId="0" fillId="2" borderId="3" xfId="0" applyNumberFormat="1" applyFill="1" applyBorder="1" applyAlignment="1">
      <alignment horizontal="center"/>
    </xf>
    <xf numFmtId="17" fontId="0" fillId="3" borderId="3" xfId="0" applyNumberForma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165" fontId="0" fillId="4" borderId="3" xfId="0" applyNumberFormat="1" applyFill="1" applyBorder="1"/>
    <xf numFmtId="165" fontId="0" fillId="2" borderId="3" xfId="0" applyNumberFormat="1" applyFill="1" applyBorder="1"/>
    <xf numFmtId="165" fontId="0" fillId="5" borderId="3" xfId="0" applyNumberFormat="1" applyFill="1" applyBorder="1"/>
    <xf numFmtId="165" fontId="0" fillId="0" borderId="3" xfId="0" applyNumberFormat="1" applyBorder="1"/>
    <xf numFmtId="10" fontId="0" fillId="2" borderId="3" xfId="2" applyNumberFormat="1" applyFont="1" applyFill="1" applyBorder="1"/>
    <xf numFmtId="10" fontId="0" fillId="0" borderId="3" xfId="2" applyNumberFormat="1" applyFont="1" applyFill="1" applyBorder="1"/>
    <xf numFmtId="10" fontId="0" fillId="6" borderId="3" xfId="2" applyNumberFormat="1" applyFont="1" applyFill="1" applyBorder="1"/>
    <xf numFmtId="10" fontId="0" fillId="7" borderId="3" xfId="2" applyNumberFormat="1" applyFont="1" applyFill="1" applyBorder="1"/>
    <xf numFmtId="166" fontId="0" fillId="2" borderId="3" xfId="0" applyNumberFormat="1" applyFill="1" applyBorder="1"/>
    <xf numFmtId="166" fontId="0" fillId="0" borderId="3" xfId="0" applyNumberFormat="1" applyBorder="1"/>
    <xf numFmtId="167" fontId="0" fillId="2" borderId="3" xfId="0" applyNumberFormat="1" applyFill="1" applyBorder="1"/>
    <xf numFmtId="0" fontId="7" fillId="2" borderId="0" xfId="0" applyFont="1" applyFill="1"/>
    <xf numFmtId="167" fontId="0" fillId="2" borderId="0" xfId="0" applyNumberFormat="1" applyFill="1"/>
    <xf numFmtId="166" fontId="0" fillId="2" borderId="0" xfId="0" applyNumberFormat="1" applyFill="1"/>
    <xf numFmtId="6" fontId="2" fillId="0" borderId="0" xfId="0" quotePrefix="1" applyNumberFormat="1" applyFont="1" applyAlignment="1">
      <alignment horizontal="center"/>
    </xf>
    <xf numFmtId="168" fontId="0" fillId="0" borderId="0" xfId="0" applyNumberFormat="1"/>
    <xf numFmtId="169" fontId="0" fillId="0" borderId="0" xfId="0" applyNumberFormat="1"/>
    <xf numFmtId="0" fontId="0" fillId="0" borderId="0" xfId="0" applyFont="1"/>
    <xf numFmtId="2" fontId="0" fillId="0" borderId="0" xfId="0" applyNumberFormat="1"/>
    <xf numFmtId="0" fontId="0" fillId="8" borderId="0" xfId="0" applyFill="1"/>
    <xf numFmtId="44" fontId="0" fillId="8" borderId="0" xfId="1" applyFont="1" applyFill="1"/>
    <xf numFmtId="44" fontId="0" fillId="8" borderId="0" xfId="0" applyNumberFormat="1" applyFill="1"/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rId8" /><Relationship Type="http://schemas.openxmlformats.org/officeDocument/2006/relationships/worksheet" Target="worksheets/sheet3.xml" Id="rId3" /><Relationship Type="http://schemas.openxmlformats.org/officeDocument/2006/relationships/styles" Target="styles.xml" Id="rId7" /><Relationship Type="http://schemas.openxmlformats.org/officeDocument/2006/relationships/worksheet" Target="worksheets/sheet2.xml" Id="rId2" /><Relationship Type="http://schemas.openxmlformats.org/officeDocument/2006/relationships/worksheet" Target="worksheets/sheet1.xml" Id="rId1" /><Relationship Type="http://schemas.openxmlformats.org/officeDocument/2006/relationships/theme" Target="theme/theme1.xml" Id="rId6" /><Relationship Type="http://schemas.openxmlformats.org/officeDocument/2006/relationships/externalLink" Target="externalLinks/externalLink1.xml" Id="rId5" /><Relationship Type="http://schemas.openxmlformats.org/officeDocument/2006/relationships/calcChain" Target="calcChain.xml" Id="rId10" /><Relationship Type="http://schemas.openxmlformats.org/officeDocument/2006/relationships/worksheet" Target="worksheets/sheet4.xml" Id="rId4" /><Relationship Type="http://schemas.openxmlformats.org/officeDocument/2006/relationships/sheetMetadata" Target="metadata.xml" Id="rId9" /><Relationship Type="http://schemas.openxmlformats.org/officeDocument/2006/relationships/customXml" Target="/customXML/item.xml" Id="imanage.xml" 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Price%20Review\2021-25%20EDPR\16.0%202021%20EDPR%20-%20Proposal%20submission%2031%20Jan'20\Supporting%20documents\9%20Capex\Confidential\ASD%20-%20Distribution%20Proposal%20Capex%20Model%20(2022-26)%20-%20310120%20-%20CONFIDENT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Assumptions"/>
      <sheetName val="Lookups -&gt;"/>
      <sheetName val="Lab_Mat"/>
      <sheetName val="Escalators"/>
      <sheetName val="Lookups"/>
      <sheetName val="START"/>
      <sheetName val="Inputs -&gt;"/>
      <sheetName val="Augmentation"/>
      <sheetName val="Connections"/>
      <sheetName val="Major_Rebuilds"/>
      <sheetName val="Stations"/>
      <sheetName val="Lines"/>
      <sheetName val="PC&amp;A"/>
      <sheetName val="SCADA&amp;Comms"/>
      <sheetName val="ESL_1"/>
      <sheetName val="ESL_2"/>
      <sheetName val="REFCL"/>
      <sheetName val="ICT"/>
      <sheetName val="Metering_SCS"/>
      <sheetName val="Other_NN"/>
      <sheetName val="Downer_Contract"/>
      <sheetName val="Aggregations &amp; Alloc -&gt;"/>
      <sheetName val="Base_Forecast"/>
      <sheetName val="Reg_Forecast"/>
      <sheetName val="Capex_by_Driver"/>
      <sheetName val="Safety"/>
      <sheetName val="AusNet_Overheads"/>
      <sheetName val="Outputs -&gt;"/>
      <sheetName val="RFM_PTRM"/>
      <sheetName val="Capex_2016-2026"/>
      <sheetName val="DER"/>
      <sheetName val="REFCL_view"/>
      <sheetName val="RIN Template -&gt;"/>
      <sheetName val="2.1 Exp Summary"/>
      <sheetName val="2.1.8 Cap Overheads"/>
      <sheetName val="2.6 Non-Network"/>
      <sheetName val="2.11 Labour"/>
      <sheetName val="2.17 Step Changes"/>
      <sheetName val="Other -&gt;"/>
      <sheetName val="Repex_Analysi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5">
          <cell r="D5" t="str">
            <v>2022-26</v>
          </cell>
        </row>
        <row r="13">
          <cell r="D13">
            <v>43800</v>
          </cell>
          <cell r="E13">
            <v>44166</v>
          </cell>
          <cell r="F13">
            <v>44377</v>
          </cell>
          <cell r="G13">
            <v>44742</v>
          </cell>
          <cell r="H13">
            <v>45107</v>
          </cell>
          <cell r="I13">
            <v>45473</v>
          </cell>
          <cell r="J13">
            <v>45838</v>
          </cell>
          <cell r="K13">
            <v>46203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80"/>
  <sheetViews>
    <sheetView topLeftCell="A19" workbookViewId="0">
      <selection activeCell="C24" sqref="C24"/>
    </sheetView>
  </sheetViews>
  <sheetFormatPr defaultRowHeight="15" x14ac:dyDescent="0.25"/>
  <cols>
    <col min="1" max="1" width="9.28515625" customWidth="1"/>
    <col min="2" max="2" width="3.7109375" style="46" customWidth="1"/>
    <col min="3" max="3" width="53.140625" bestFit="1" customWidth="1"/>
    <col min="5" max="6" width="9.140625" style="8"/>
    <col min="7" max="7" width="16.7109375" customWidth="1"/>
    <col min="8" max="13" width="14.28515625" customWidth="1"/>
    <col min="14" max="14" width="17.140625" customWidth="1"/>
    <col min="16" max="16" width="16.28515625" bestFit="1" customWidth="1"/>
  </cols>
  <sheetData>
    <row r="1" spans="2:15" s="10" customFormat="1" x14ac:dyDescent="0.25">
      <c r="B1" s="46"/>
      <c r="C1" s="10" t="s">
        <v>0</v>
      </c>
      <c r="D1" s="10" t="s">
        <v>1</v>
      </c>
      <c r="E1" s="16" t="s">
        <v>38</v>
      </c>
      <c r="F1" s="16" t="s">
        <v>62</v>
      </c>
      <c r="G1" s="16">
        <v>2020</v>
      </c>
      <c r="H1" s="16" t="s">
        <v>2</v>
      </c>
      <c r="I1" s="16">
        <v>2022</v>
      </c>
      <c r="J1" s="16">
        <v>2023</v>
      </c>
      <c r="K1" s="16">
        <v>2024</v>
      </c>
      <c r="L1" s="16">
        <v>2025</v>
      </c>
      <c r="M1" s="16">
        <v>2026</v>
      </c>
      <c r="N1" s="16" t="s">
        <v>11</v>
      </c>
      <c r="O1" s="16" t="s">
        <v>12</v>
      </c>
    </row>
    <row r="2" spans="2:15" s="10" customFormat="1" x14ac:dyDescent="0.25">
      <c r="B2" s="4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x14ac:dyDescent="0.25">
      <c r="B3" s="46" t="s">
        <v>71</v>
      </c>
    </row>
    <row r="4" spans="2:15" x14ac:dyDescent="0.25">
      <c r="C4" t="s">
        <v>4</v>
      </c>
      <c r="D4" t="s">
        <v>9</v>
      </c>
      <c r="E4" s="8" t="s">
        <v>39</v>
      </c>
      <c r="F4" s="8">
        <v>2020</v>
      </c>
      <c r="G4" s="1">
        <v>345208</v>
      </c>
      <c r="N4" s="1">
        <f t="shared" ref="N4:N15" si="0">SUM(G4:M4)</f>
        <v>345208</v>
      </c>
    </row>
    <row r="5" spans="2:15" x14ac:dyDescent="0.25">
      <c r="C5" t="s">
        <v>5</v>
      </c>
      <c r="D5" t="s">
        <v>9</v>
      </c>
      <c r="E5" s="8" t="s">
        <v>39</v>
      </c>
      <c r="F5" s="8">
        <v>2020</v>
      </c>
      <c r="G5" s="1">
        <v>8811756</v>
      </c>
      <c r="N5" s="1">
        <f t="shared" si="0"/>
        <v>8811756</v>
      </c>
    </row>
    <row r="6" spans="2:15" x14ac:dyDescent="0.25">
      <c r="C6" t="s">
        <v>3</v>
      </c>
      <c r="D6" t="s">
        <v>9</v>
      </c>
      <c r="E6" s="8" t="s">
        <v>39</v>
      </c>
      <c r="F6" s="8">
        <v>2020</v>
      </c>
      <c r="G6" s="5">
        <v>4658047</v>
      </c>
      <c r="N6" s="1">
        <f t="shared" si="0"/>
        <v>4658047</v>
      </c>
      <c r="O6" t="s">
        <v>34</v>
      </c>
    </row>
    <row r="7" spans="2:15" x14ac:dyDescent="0.25">
      <c r="C7" s="48"/>
      <c r="D7" t="s">
        <v>9</v>
      </c>
      <c r="E7" s="8" t="s">
        <v>39</v>
      </c>
      <c r="F7" s="8">
        <v>2020</v>
      </c>
      <c r="G7" s="1">
        <v>705039</v>
      </c>
      <c r="N7" s="1">
        <f t="shared" si="0"/>
        <v>705039</v>
      </c>
    </row>
    <row r="8" spans="2:15" x14ac:dyDescent="0.25">
      <c r="C8" s="48"/>
      <c r="D8" t="s">
        <v>9</v>
      </c>
      <c r="E8" s="8" t="s">
        <v>40</v>
      </c>
      <c r="F8" s="8">
        <v>2020</v>
      </c>
      <c r="G8" s="1">
        <v>29762</v>
      </c>
      <c r="N8" s="1">
        <f t="shared" si="0"/>
        <v>29762</v>
      </c>
    </row>
    <row r="9" spans="2:15" x14ac:dyDescent="0.25">
      <c r="C9" t="s">
        <v>6</v>
      </c>
      <c r="D9" t="s">
        <v>10</v>
      </c>
      <c r="E9" s="8" t="s">
        <v>39</v>
      </c>
      <c r="F9" s="8">
        <v>2020</v>
      </c>
      <c r="G9" s="1">
        <v>755288</v>
      </c>
      <c r="N9" s="1">
        <f t="shared" si="0"/>
        <v>755288</v>
      </c>
    </row>
    <row r="10" spans="2:15" x14ac:dyDescent="0.25">
      <c r="C10" s="48"/>
      <c r="D10" t="s">
        <v>10</v>
      </c>
      <c r="E10" s="8" t="s">
        <v>39</v>
      </c>
      <c r="F10" s="8">
        <v>2020</v>
      </c>
      <c r="G10" s="1">
        <v>6313592</v>
      </c>
      <c r="N10" s="1">
        <f t="shared" si="0"/>
        <v>6313592</v>
      </c>
    </row>
    <row r="11" spans="2:15" x14ac:dyDescent="0.25">
      <c r="C11" s="48"/>
      <c r="D11" t="s">
        <v>10</v>
      </c>
      <c r="E11" s="8" t="s">
        <v>39</v>
      </c>
      <c r="F11" s="8">
        <v>2020</v>
      </c>
      <c r="G11" s="1">
        <v>267857</v>
      </c>
      <c r="N11" s="1">
        <f t="shared" si="0"/>
        <v>267857</v>
      </c>
    </row>
    <row r="12" spans="2:15" x14ac:dyDescent="0.25">
      <c r="C12" t="s">
        <v>7</v>
      </c>
      <c r="D12" t="s">
        <v>10</v>
      </c>
      <c r="E12" s="8" t="s">
        <v>39</v>
      </c>
      <c r="F12" s="8">
        <v>2020</v>
      </c>
      <c r="G12" s="5">
        <v>214200</v>
      </c>
      <c r="N12" s="1">
        <f t="shared" si="0"/>
        <v>214200</v>
      </c>
      <c r="O12" t="s">
        <v>31</v>
      </c>
    </row>
    <row r="13" spans="2:15" x14ac:dyDescent="0.25">
      <c r="C13" t="s">
        <v>8</v>
      </c>
      <c r="D13" t="s">
        <v>10</v>
      </c>
      <c r="E13" s="8" t="s">
        <v>39</v>
      </c>
      <c r="F13" s="8">
        <v>2020</v>
      </c>
      <c r="G13" s="1">
        <v>23177.21</v>
      </c>
      <c r="N13" s="1">
        <f t="shared" si="0"/>
        <v>23177.21</v>
      </c>
    </row>
    <row r="14" spans="2:15" x14ac:dyDescent="0.25">
      <c r="C14" t="s">
        <v>13</v>
      </c>
      <c r="D14" t="s">
        <v>9</v>
      </c>
      <c r="E14" s="8" t="s">
        <v>39</v>
      </c>
      <c r="F14" s="8">
        <v>2020</v>
      </c>
      <c r="G14" s="1">
        <v>81525.78</v>
      </c>
      <c r="N14" s="1">
        <f t="shared" si="0"/>
        <v>81525.78</v>
      </c>
      <c r="O14" s="48"/>
    </row>
    <row r="15" spans="2:15" x14ac:dyDescent="0.25">
      <c r="C15" t="s">
        <v>14</v>
      </c>
      <c r="D15" t="s">
        <v>9</v>
      </c>
      <c r="E15" s="8" t="s">
        <v>39</v>
      </c>
      <c r="F15" s="8">
        <v>2020</v>
      </c>
      <c r="G15" s="1">
        <v>19862.38</v>
      </c>
      <c r="M15" s="1">
        <v>19862.38</v>
      </c>
      <c r="N15" s="1">
        <f t="shared" si="0"/>
        <v>39724.76</v>
      </c>
      <c r="O15" s="48"/>
    </row>
    <row r="16" spans="2:15" ht="15.75" thickBot="1" x14ac:dyDescent="0.3">
      <c r="C16" s="3"/>
      <c r="D16" s="3"/>
      <c r="E16" s="9"/>
      <c r="F16" s="9"/>
      <c r="G16" s="7"/>
      <c r="H16" s="7"/>
      <c r="I16" s="3"/>
      <c r="J16" s="3"/>
      <c r="K16" s="3"/>
      <c r="L16" s="3"/>
      <c r="M16" s="3"/>
      <c r="N16" s="4"/>
    </row>
    <row r="17" spans="2:15" x14ac:dyDescent="0.25">
      <c r="C17" s="10" t="s">
        <v>11</v>
      </c>
      <c r="D17" s="10"/>
      <c r="E17" s="16"/>
      <c r="F17" s="16"/>
      <c r="G17" s="17">
        <f t="shared" ref="G17:M17" si="1">SUM(G4:G15)</f>
        <v>22225314.370000001</v>
      </c>
      <c r="H17" s="17">
        <f t="shared" si="1"/>
        <v>0</v>
      </c>
      <c r="I17" s="17">
        <f t="shared" si="1"/>
        <v>0</v>
      </c>
      <c r="J17" s="17">
        <f t="shared" si="1"/>
        <v>0</v>
      </c>
      <c r="K17" s="17">
        <f t="shared" si="1"/>
        <v>0</v>
      </c>
      <c r="L17" s="17">
        <f t="shared" si="1"/>
        <v>0</v>
      </c>
      <c r="M17" s="17">
        <f t="shared" si="1"/>
        <v>19862.38</v>
      </c>
      <c r="N17" s="18">
        <f>SUM(N4:N16)</f>
        <v>22245176.750000004</v>
      </c>
    </row>
    <row r="18" spans="2:15" x14ac:dyDescent="0.25">
      <c r="N18" s="2"/>
    </row>
    <row r="20" spans="2:15" x14ac:dyDescent="0.25">
      <c r="B20" s="46" t="s">
        <v>15</v>
      </c>
    </row>
    <row r="21" spans="2:15" x14ac:dyDescent="0.25">
      <c r="C21" t="str">
        <f t="shared" ref="C21:C32" si="2">C4</f>
        <v>Vegetation Management - Internal</v>
      </c>
      <c r="D21" t="s">
        <v>9</v>
      </c>
      <c r="E21" s="8" t="s">
        <v>40</v>
      </c>
      <c r="F21" s="8">
        <v>2020</v>
      </c>
      <c r="G21" s="5">
        <v>0</v>
      </c>
      <c r="N21" s="1">
        <f t="shared" ref="N21:N31" si="3">SUM(G21:M21)</f>
        <v>0</v>
      </c>
      <c r="O21" t="s">
        <v>28</v>
      </c>
    </row>
    <row r="22" spans="2:15" x14ac:dyDescent="0.25">
      <c r="C22" t="str">
        <f t="shared" si="2"/>
        <v>Vegetation Management - Active Tree works</v>
      </c>
      <c r="D22" t="s">
        <v>9</v>
      </c>
      <c r="E22" s="8" t="s">
        <v>39</v>
      </c>
      <c r="F22" s="8">
        <v>2020</v>
      </c>
      <c r="G22" s="5">
        <v>100000</v>
      </c>
      <c r="H22" s="5">
        <v>50000</v>
      </c>
      <c r="I22" s="5">
        <v>100000</v>
      </c>
      <c r="J22" s="5">
        <v>100000</v>
      </c>
      <c r="K22" s="5">
        <v>100000</v>
      </c>
      <c r="L22" s="5">
        <v>100000</v>
      </c>
      <c r="M22" s="5">
        <v>100000</v>
      </c>
      <c r="N22" s="1">
        <f t="shared" si="3"/>
        <v>650000</v>
      </c>
      <c r="O22" t="s">
        <v>28</v>
      </c>
    </row>
    <row r="23" spans="2:15" x14ac:dyDescent="0.25">
      <c r="C23" t="str">
        <f t="shared" si="2"/>
        <v>Internal Timesheeting / Emergency / Corrective works</v>
      </c>
      <c r="D23" t="s">
        <v>9</v>
      </c>
      <c r="E23" s="8" t="s">
        <v>39</v>
      </c>
      <c r="F23" s="8">
        <v>2020</v>
      </c>
      <c r="G23" s="5">
        <v>760045</v>
      </c>
      <c r="N23" s="1">
        <f t="shared" si="3"/>
        <v>760045</v>
      </c>
      <c r="O23" t="s">
        <v>35</v>
      </c>
    </row>
    <row r="24" spans="2:15" x14ac:dyDescent="0.25">
      <c r="C24" s="48"/>
      <c r="D24" t="s">
        <v>9</v>
      </c>
      <c r="E24" s="8" t="s">
        <v>40</v>
      </c>
      <c r="F24" s="8">
        <v>2020</v>
      </c>
      <c r="G24" s="5">
        <v>0</v>
      </c>
      <c r="N24" s="1">
        <f t="shared" si="3"/>
        <v>0</v>
      </c>
      <c r="O24" t="s">
        <v>37</v>
      </c>
    </row>
    <row r="25" spans="2:15" x14ac:dyDescent="0.25">
      <c r="C25" s="48"/>
      <c r="D25" t="s">
        <v>9</v>
      </c>
      <c r="E25" s="8" t="s">
        <v>40</v>
      </c>
      <c r="F25" s="8">
        <v>2020</v>
      </c>
      <c r="G25" s="5">
        <v>0</v>
      </c>
      <c r="N25" s="1">
        <f t="shared" si="3"/>
        <v>0</v>
      </c>
      <c r="O25" t="s">
        <v>18</v>
      </c>
    </row>
    <row r="26" spans="2:15" x14ac:dyDescent="0.25">
      <c r="C26" t="str">
        <f t="shared" si="2"/>
        <v>Z001 Capex Replacement works</v>
      </c>
      <c r="D26" t="s">
        <v>10</v>
      </c>
      <c r="E26" s="8" t="s">
        <v>39</v>
      </c>
      <c r="F26" s="8">
        <v>2021</v>
      </c>
      <c r="G26" s="5">
        <f>G42</f>
        <v>22587.48</v>
      </c>
      <c r="H26" s="5">
        <f t="shared" ref="H26:M26" si="4">H42</f>
        <v>27379.225506424806</v>
      </c>
      <c r="I26" s="5">
        <f t="shared" si="4"/>
        <v>65099.454488183212</v>
      </c>
      <c r="J26" s="5">
        <f t="shared" si="4"/>
        <v>96222.571256014591</v>
      </c>
      <c r="K26" s="5">
        <f t="shared" si="4"/>
        <v>75872.841061663305</v>
      </c>
      <c r="L26" s="5">
        <f t="shared" si="4"/>
        <v>120592.39270260616</v>
      </c>
      <c r="M26" s="5">
        <f t="shared" si="4"/>
        <v>35340</v>
      </c>
      <c r="N26" s="1">
        <f t="shared" si="3"/>
        <v>443093.96501489205</v>
      </c>
      <c r="O26" t="s">
        <v>29</v>
      </c>
    </row>
    <row r="27" spans="2:15" x14ac:dyDescent="0.25">
      <c r="C27" s="48"/>
      <c r="D27" t="s">
        <v>10</v>
      </c>
      <c r="E27" s="8" t="s">
        <v>40</v>
      </c>
      <c r="F27" s="8">
        <v>2020</v>
      </c>
      <c r="G27" s="5">
        <v>0</v>
      </c>
      <c r="N27" s="1">
        <f t="shared" si="3"/>
        <v>0</v>
      </c>
      <c r="O27" t="s">
        <v>30</v>
      </c>
    </row>
    <row r="28" spans="2:15" x14ac:dyDescent="0.25">
      <c r="C28" s="48"/>
      <c r="D28" t="s">
        <v>10</v>
      </c>
      <c r="E28" s="8" t="s">
        <v>40</v>
      </c>
      <c r="F28" s="8">
        <v>2020</v>
      </c>
      <c r="G28" s="5">
        <v>0</v>
      </c>
      <c r="N28" s="1">
        <f t="shared" si="3"/>
        <v>0</v>
      </c>
      <c r="O28" t="s">
        <v>30</v>
      </c>
    </row>
    <row r="29" spans="2:15" x14ac:dyDescent="0.25">
      <c r="C29" t="str">
        <f t="shared" si="2"/>
        <v>General Capex - small generators</v>
      </c>
      <c r="D29" t="s">
        <v>10</v>
      </c>
      <c r="E29" s="8" t="s">
        <v>40</v>
      </c>
      <c r="F29" s="8">
        <v>2020</v>
      </c>
      <c r="G29" s="5">
        <v>0</v>
      </c>
      <c r="H29" s="5">
        <v>0</v>
      </c>
      <c r="I29" s="1">
        <f>10*990</f>
        <v>9900</v>
      </c>
      <c r="J29" s="5">
        <v>0</v>
      </c>
      <c r="K29" s="1">
        <f>10*990</f>
        <v>9900</v>
      </c>
      <c r="L29" s="5">
        <v>0</v>
      </c>
      <c r="M29" s="1">
        <f>10*990</f>
        <v>9900</v>
      </c>
      <c r="N29" s="1">
        <f t="shared" si="3"/>
        <v>29700</v>
      </c>
      <c r="O29" t="s">
        <v>27</v>
      </c>
    </row>
    <row r="30" spans="2:15" x14ac:dyDescent="0.25">
      <c r="C30" t="str">
        <f t="shared" si="2"/>
        <v>General Capex - veg tablets</v>
      </c>
      <c r="D30" t="s">
        <v>10</v>
      </c>
      <c r="E30" s="8" t="s">
        <v>40</v>
      </c>
      <c r="F30" s="8">
        <v>2020</v>
      </c>
      <c r="G30" s="5">
        <v>0</v>
      </c>
      <c r="H30" s="5">
        <v>0</v>
      </c>
      <c r="I30" s="1">
        <f>G13/5</f>
        <v>4635.442</v>
      </c>
      <c r="J30" s="2">
        <f t="shared" ref="J30:M30" si="5">I30</f>
        <v>4635.442</v>
      </c>
      <c r="K30" s="2">
        <f t="shared" si="5"/>
        <v>4635.442</v>
      </c>
      <c r="L30" s="2">
        <f t="shared" si="5"/>
        <v>4635.442</v>
      </c>
      <c r="M30" s="2">
        <f t="shared" si="5"/>
        <v>4635.442</v>
      </c>
      <c r="N30" s="1">
        <f t="shared" si="3"/>
        <v>23177.21</v>
      </c>
      <c r="O30" t="s">
        <v>26</v>
      </c>
    </row>
    <row r="31" spans="2:15" x14ac:dyDescent="0.25">
      <c r="C31" t="str">
        <f t="shared" si="2"/>
        <v>Asset Inspection - Aerial</v>
      </c>
      <c r="D31" t="s">
        <v>9</v>
      </c>
      <c r="E31" s="8" t="s">
        <v>40</v>
      </c>
      <c r="F31" s="8">
        <v>2020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1">
        <f t="shared" si="3"/>
        <v>0</v>
      </c>
      <c r="O31" t="s">
        <v>17</v>
      </c>
    </row>
    <row r="32" spans="2:15" x14ac:dyDescent="0.25">
      <c r="C32" t="str">
        <f t="shared" si="2"/>
        <v>Asset Inspection - Ground</v>
      </c>
      <c r="D32" t="s">
        <v>9</v>
      </c>
      <c r="E32" s="8" t="s">
        <v>39</v>
      </c>
      <c r="F32" s="8">
        <v>2020</v>
      </c>
      <c r="G32" s="49"/>
      <c r="H32" s="49"/>
      <c r="I32" s="49"/>
      <c r="J32" s="49"/>
      <c r="K32" s="49"/>
      <c r="L32" s="50"/>
      <c r="M32" s="49"/>
      <c r="N32" s="1">
        <v>23648.159999999996</v>
      </c>
      <c r="O32" t="s">
        <v>16</v>
      </c>
    </row>
    <row r="33" spans="2:16" ht="15.75" thickBot="1" x14ac:dyDescent="0.3">
      <c r="C33" s="3"/>
      <c r="D33" s="3"/>
      <c r="E33" s="9"/>
      <c r="F33" s="9"/>
      <c r="G33" s="7"/>
      <c r="H33" s="4"/>
      <c r="I33" s="3"/>
      <c r="J33" s="3"/>
      <c r="K33" s="3"/>
      <c r="L33" s="3"/>
      <c r="M33" s="3"/>
      <c r="N33" s="4"/>
    </row>
    <row r="34" spans="2:16" s="10" customFormat="1" x14ac:dyDescent="0.25">
      <c r="C34" s="10" t="s">
        <v>11</v>
      </c>
      <c r="E34" s="16"/>
      <c r="F34" s="16"/>
      <c r="G34" s="17">
        <v>888311.15</v>
      </c>
      <c r="H34" s="17">
        <v>78623.865506424801</v>
      </c>
      <c r="I34" s="17">
        <v>185106.12648818322</v>
      </c>
      <c r="J34" s="17">
        <v>208299.92325601459</v>
      </c>
      <c r="K34" s="17">
        <v>190434.21306166329</v>
      </c>
      <c r="L34" s="17">
        <v>225227.83470260617</v>
      </c>
      <c r="M34" s="17">
        <v>153661.22200000001</v>
      </c>
      <c r="N34" s="18">
        <f>SUM(N21:N33)</f>
        <v>1929664.335014892</v>
      </c>
    </row>
    <row r="35" spans="2:16" x14ac:dyDescent="0.25">
      <c r="N35" s="2"/>
    </row>
    <row r="36" spans="2:16" x14ac:dyDescent="0.25">
      <c r="B36" s="10" t="s">
        <v>36</v>
      </c>
    </row>
    <row r="37" spans="2:16" x14ac:dyDescent="0.25">
      <c r="C37" t="s">
        <v>19</v>
      </c>
      <c r="D37" t="s">
        <v>10</v>
      </c>
      <c r="G37" s="49"/>
      <c r="H37" s="1">
        <v>6175.2255064248056</v>
      </c>
      <c r="I37" s="1">
        <v>29759.454488183212</v>
      </c>
      <c r="J37" s="1">
        <v>60882.571256014591</v>
      </c>
      <c r="K37" s="1">
        <v>40532.841061663305</v>
      </c>
      <c r="L37" s="1">
        <v>85252.392702606157</v>
      </c>
      <c r="M37" s="2">
        <v>0</v>
      </c>
      <c r="N37" s="1">
        <v>245189.96501489205</v>
      </c>
      <c r="O37" t="s">
        <v>33</v>
      </c>
    </row>
    <row r="38" spans="2:16" x14ac:dyDescent="0.25">
      <c r="C38" t="s">
        <v>20</v>
      </c>
      <c r="D38" t="s">
        <v>10</v>
      </c>
      <c r="G38" s="49"/>
      <c r="H38" s="49"/>
      <c r="I38" s="49"/>
      <c r="J38" s="49"/>
      <c r="K38" s="49"/>
      <c r="L38" s="49"/>
      <c r="M38" s="49"/>
      <c r="N38" s="1">
        <v>197904</v>
      </c>
    </row>
    <row r="39" spans="2:16" x14ac:dyDescent="0.25">
      <c r="C39" t="s">
        <v>21</v>
      </c>
      <c r="D39" t="s">
        <v>10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  <c r="N39" s="1">
        <f>SUM(G39:M39)</f>
        <v>0</v>
      </c>
      <c r="O39" t="s">
        <v>25</v>
      </c>
    </row>
    <row r="40" spans="2:16" x14ac:dyDescent="0.25">
      <c r="C40" t="s">
        <v>22</v>
      </c>
      <c r="D40" t="s">
        <v>10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f>SUM(G40:M40)</f>
        <v>0</v>
      </c>
      <c r="O40" t="s">
        <v>24</v>
      </c>
    </row>
    <row r="41" spans="2:16" ht="15.75" thickBot="1" x14ac:dyDescent="0.3">
      <c r="C41" s="3" t="s">
        <v>23</v>
      </c>
      <c r="D41" s="3" t="s">
        <v>10</v>
      </c>
      <c r="E41" s="9"/>
      <c r="F41" s="9"/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f>SUM(G41:M41)</f>
        <v>0</v>
      </c>
      <c r="O41" t="s">
        <v>32</v>
      </c>
    </row>
    <row r="42" spans="2:16" s="10" customFormat="1" x14ac:dyDescent="0.25">
      <c r="E42" s="16"/>
      <c r="F42" s="16"/>
      <c r="G42" s="18">
        <v>22587.48</v>
      </c>
      <c r="H42" s="18">
        <v>27379.225506424806</v>
      </c>
      <c r="I42" s="18">
        <v>65099.454488183212</v>
      </c>
      <c r="J42" s="18">
        <v>96222.571256014591</v>
      </c>
      <c r="K42" s="18">
        <v>75872.841061663305</v>
      </c>
      <c r="L42" s="18">
        <v>120592.39270260616</v>
      </c>
      <c r="M42" s="18">
        <v>35340</v>
      </c>
      <c r="N42" s="18">
        <f>SUM(N37:N41)</f>
        <v>443093.96501489205</v>
      </c>
    </row>
    <row r="44" spans="2:16" x14ac:dyDescent="0.25">
      <c r="C44" t="s">
        <v>68</v>
      </c>
      <c r="F44" s="8">
        <v>2020</v>
      </c>
      <c r="G44" s="44">
        <f>Escalators!O13</f>
        <v>1</v>
      </c>
      <c r="H44" s="44">
        <f>Escalators!P13</f>
        <v>1.0121951219512195</v>
      </c>
      <c r="I44" s="44">
        <f>Escalators!Q13</f>
        <v>1.02</v>
      </c>
      <c r="J44" s="44">
        <f>Escalators!R13</f>
        <v>1.0449899999999999</v>
      </c>
      <c r="K44" s="44">
        <f>Escalators!S13</f>
        <v>1.070592255</v>
      </c>
      <c r="L44" s="44">
        <f>Escalators!T13</f>
        <v>1.0968217652474999</v>
      </c>
      <c r="M44" s="44">
        <f>Escalators!U13</f>
        <v>1.1236938984960636</v>
      </c>
    </row>
    <row r="45" spans="2:16" x14ac:dyDescent="0.25">
      <c r="C45" t="s">
        <v>69</v>
      </c>
      <c r="F45" s="8">
        <v>2021</v>
      </c>
      <c r="G45" s="44">
        <f>Escalators!O14</f>
        <v>0.98795180722891562</v>
      </c>
      <c r="H45" s="44">
        <f>Escalators!P14</f>
        <v>1</v>
      </c>
      <c r="I45" s="44">
        <f>Escalators!Q14</f>
        <v>1.007710843373494</v>
      </c>
      <c r="J45" s="44">
        <f>Escalators!R14</f>
        <v>1.0323997590361444</v>
      </c>
      <c r="K45" s="44">
        <f>Escalators!S14</f>
        <v>1.05769355313253</v>
      </c>
      <c r="L45" s="44">
        <f>Escalators!T14</f>
        <v>1.083607045184277</v>
      </c>
      <c r="M45" s="44">
        <f>Escalators!U14</f>
        <v>1.1101554177912916</v>
      </c>
    </row>
    <row r="46" spans="2:16" x14ac:dyDescent="0.25">
      <c r="G46" s="1"/>
    </row>
    <row r="47" spans="2:16" x14ac:dyDescent="0.25">
      <c r="B47" s="10" t="s">
        <v>70</v>
      </c>
      <c r="G47" s="1"/>
      <c r="O47" s="6"/>
      <c r="P47" s="2"/>
    </row>
    <row r="48" spans="2:16" x14ac:dyDescent="0.25">
      <c r="C48" s="6" t="str">
        <f t="shared" ref="C48:C59" si="6">C4</f>
        <v>Vegetation Management - Internal</v>
      </c>
      <c r="D48" t="s">
        <v>9</v>
      </c>
      <c r="G48" s="11" cm="1">
        <f t="array" ref="G48">SUMPRODUCT(($C$4:$C$15=$C48)*($E$4:$E$15="Y")*(G$4:G$15))*INDEX(G$44:G$45,MATCH($F4,$F$44:$F$45,0))
-SUMPRODUCT(($C$21:$C$32=$C48)*($E$21:$E$32="Y")*(G$21:G$32))*INDEX(G$44:G$45,MATCH($F21,$F$44:$F$45,0))</f>
        <v>345208</v>
      </c>
      <c r="H48" s="11" cm="1">
        <f t="array" ref="H48">SUMPRODUCT(($C$4:$C$15=$C48)*($E$4:$E$15="Y")*(H$4:H$15))*INDEX(H$44:H$45,MATCH($F4,$F$44:$F$45,0))
-SUMPRODUCT(($C$21:$C$32=$C48)*($E$21:$E$32="Y")*(H$21:H$32))*INDEX(H$44:H$45,MATCH($F21,$F$44:$F$45,0))</f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O48" s="6"/>
    </row>
    <row r="49" spans="3:15" x14ac:dyDescent="0.25">
      <c r="C49" s="6" t="str">
        <f t="shared" si="6"/>
        <v>Vegetation Management - Active Tree works</v>
      </c>
      <c r="D49" t="s">
        <v>9</v>
      </c>
      <c r="G49" s="11" cm="1">
        <f t="array" ref="G49">SUMPRODUCT(($C$4:$C$15=$C49)*($E$4:$E$15="Y")*(G$4:G$15))*INDEX(G$44:G$45,MATCH($F5,$F$44:$F$45,0))
-SUMPRODUCT(($C$21:$C$32=$C49)*($E$21:$E$32="Y")*(G$21:G$32))*INDEX(G$44:G$45,MATCH($F22,$F$44:$F$45,0))</f>
        <v>8711756</v>
      </c>
      <c r="H49" s="11" cm="1">
        <f t="array" ref="H49">SUMPRODUCT(($C$4:$C$15=$C49)*($E$4:$E$15="Y")*(H$4:H$15))*INDEX(H$44:H$45,MATCH($F5,$F$44:$F$45,0))
-SUMPRODUCT(($C$21:$C$32=$C49)*($E$21:$E$32="Y")*(H$21:H$32))*INDEX(H$44:H$45,MATCH($F22,$F$44:$F$45,0))</f>
        <v>-50609.756097560974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O49" s="6"/>
    </row>
    <row r="50" spans="3:15" x14ac:dyDescent="0.25">
      <c r="C50" s="6" t="str">
        <f t="shared" si="6"/>
        <v>Internal Timesheeting / Emergency / Corrective works</v>
      </c>
      <c r="D50" t="s">
        <v>9</v>
      </c>
      <c r="G50" s="11" cm="1">
        <f t="array" ref="G50">SUMPRODUCT(($C$4:$C$15=$C50)*($E$4:$E$15="Y")*(G$4:G$15))*INDEX(G$44:G$45,MATCH($F6,$F$44:$F$45,0))
-SUMPRODUCT(($C$21:$C$32=$C50)*($E$21:$E$32="Y")*(G$21:G$32))*INDEX(G$44:G$45,MATCH($F23,$F$44:$F$45,0))</f>
        <v>3898002</v>
      </c>
      <c r="H50" s="11" cm="1">
        <f t="array" ref="H50">SUMPRODUCT(($C$4:$C$15=$C50)*($E$4:$E$15="Y")*(H$4:H$15))*INDEX(H$44:H$45,MATCH($F6,$F$44:$F$45,0))
-SUMPRODUCT(($C$21:$C$32=$C50)*($E$21:$E$32="Y")*(H$21:H$32))*INDEX(H$44:H$45,MATCH($F23,$F$44:$F$45,0))</f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O50" s="6"/>
    </row>
    <row r="51" spans="3:15" x14ac:dyDescent="0.25">
      <c r="C51" s="6">
        <f t="shared" si="6"/>
        <v>0</v>
      </c>
      <c r="D51" t="s">
        <v>9</v>
      </c>
      <c r="G51" s="11" cm="1">
        <f t="array" ref="G51">SUMPRODUCT(($C$4:$C$15=$C51)*($E$4:$E$15="Y")*(G$4:G$15))*INDEX(G$44:G$45,MATCH($F7,$F$44:$F$45,0))
-SUMPRODUCT(($C$21:$C$32=$C51)*($E$21:$E$32="Y")*(G$21:G$32))*INDEX(G$44:G$45,MATCH($F24,$F$44:$F$45,0))</f>
        <v>7286488</v>
      </c>
      <c r="H51" s="11" cm="1">
        <f t="array" ref="H51">SUMPRODUCT(($C$4:$C$15=$C51)*($E$4:$E$15="Y")*(H$4:H$15))*INDEX(H$44:H$45,MATCH($F7,$F$44:$F$45,0))
-SUMPRODUCT(($C$21:$C$32=$C51)*($E$21:$E$32="Y")*(H$21:H$32))*INDEX(H$44:H$45,MATCH($F24,$F$44:$F$45,0))</f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O51" s="6"/>
    </row>
    <row r="52" spans="3:15" x14ac:dyDescent="0.25">
      <c r="C52" s="6">
        <f t="shared" si="6"/>
        <v>0</v>
      </c>
      <c r="D52" t="s">
        <v>9</v>
      </c>
      <c r="G52" s="11" cm="1">
        <f t="array" ref="G52">SUMPRODUCT(($C$4:$C$15=$C52)*($E$4:$E$15="Y")*(G$4:G$15))*INDEX(G$44:G$45,MATCH($F8,$F$44:$F$45,0))
-SUMPRODUCT(($C$21:$C$32=$C52)*($E$21:$E$32="Y")*(G$21:G$32))*INDEX(G$44:G$45,MATCH($F25,$F$44:$F$45,0))</f>
        <v>7286488</v>
      </c>
      <c r="H52" s="11" cm="1">
        <f t="array" ref="H52">SUMPRODUCT(($C$4:$C$15=$C52)*($E$4:$E$15="Y")*(H$4:H$15))*INDEX(H$44:H$45,MATCH($F8,$F$44:$F$45,0))
-SUMPRODUCT(($C$21:$C$32=$C52)*($E$21:$E$32="Y")*(H$21:H$32))*INDEX(H$44:H$45,MATCH($F25,$F$44:$F$45,0))</f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</row>
    <row r="53" spans="3:15" x14ac:dyDescent="0.25">
      <c r="C53" s="6" t="str">
        <f t="shared" si="6"/>
        <v>Z001 Capex Replacement works</v>
      </c>
      <c r="D53" t="s">
        <v>10</v>
      </c>
      <c r="G53" s="11" cm="1">
        <f t="array" ref="G53">SUMPRODUCT(($C$4:$C$15=$C53)*($E$4:$E$15="Y")*(G$4:G$15))*INDEX(G$44:G$45,MATCH($F9,$F$44:$F$45,0))
-SUMPRODUCT(($C$21:$C$32=$C53)*($E$21:$E$32="Y")*(G$21:G$32))*INDEX(G$44:G$45,MATCH($F26,$F$44:$F$45,0))</f>
        <v>732972.65831325296</v>
      </c>
      <c r="H53" s="11" cm="1">
        <f t="array" ref="H53">SUMPRODUCT(($C$4:$C$15=$C53)*($E$4:$E$15="Y")*(H$4:H$15))*INDEX(H$44:H$45,MATCH($F9,$F$44:$F$45,0))
-SUMPRODUCT(($C$21:$C$32=$C53)*($E$21:$E$32="Y")*(H$21:H$32))*INDEX(H$44:H$45,MATCH($F26,$F$44:$F$45,0))</f>
        <v>-27379.225506424806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</row>
    <row r="54" spans="3:15" x14ac:dyDescent="0.25">
      <c r="C54" s="6">
        <f t="shared" si="6"/>
        <v>0</v>
      </c>
      <c r="D54" t="s">
        <v>10</v>
      </c>
      <c r="G54" s="11" cm="1">
        <f t="array" ref="G54">SUMPRODUCT(($C$4:$C$15=$C54)*($E$4:$E$15="Y")*(G$4:G$15))*INDEX(G$44:G$45,MATCH($F10,$F$44:$F$45,0))
-SUMPRODUCT(($C$21:$C$32=$C54)*($E$21:$E$32="Y")*(G$21:G$32))*INDEX(G$44:G$45,MATCH($F27,$F$44:$F$45,0))</f>
        <v>7286488</v>
      </c>
      <c r="H54" s="11" cm="1">
        <f t="array" ref="H54">SUMPRODUCT(($C$4:$C$15=$C54)*($E$4:$E$15="Y")*(H$4:H$15))*INDEX(H$44:H$45,MATCH($F10,$F$44:$F$45,0))
-SUMPRODUCT(($C$21:$C$32=$C54)*($E$21:$E$32="Y")*(H$21:H$32))*INDEX(H$44:H$45,MATCH($F27,$F$44:$F$45,0))</f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</row>
    <row r="55" spans="3:15" x14ac:dyDescent="0.25">
      <c r="C55" s="6">
        <f t="shared" si="6"/>
        <v>0</v>
      </c>
      <c r="D55" t="s">
        <v>10</v>
      </c>
      <c r="G55" s="11" cm="1">
        <f t="array" ref="G55">SUMPRODUCT(($C$4:$C$15=$C55)*($E$4:$E$15="Y")*(G$4:G$15))*INDEX(G$44:G$45,MATCH($F11,$F$44:$F$45,0))
-SUMPRODUCT(($C$21:$C$32=$C55)*($E$21:$E$32="Y")*(G$21:G$32))*INDEX(G$44:G$45,MATCH($F28,$F$44:$F$45,0))</f>
        <v>7286488</v>
      </c>
      <c r="H55" s="11" cm="1">
        <f t="array" ref="H55">SUMPRODUCT(($C$4:$C$15=$C55)*($E$4:$E$15="Y")*(H$4:H$15))*INDEX(H$44:H$45,MATCH($F11,$F$44:$F$45,0))
-SUMPRODUCT(($C$21:$C$32=$C55)*($E$21:$E$32="Y")*(H$21:H$32))*INDEX(H$44:H$45,MATCH($F28,$F$44:$F$45,0))</f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</row>
    <row r="56" spans="3:15" x14ac:dyDescent="0.25">
      <c r="C56" s="6" t="str">
        <f t="shared" si="6"/>
        <v>General Capex - small generators</v>
      </c>
      <c r="D56" t="s">
        <v>10</v>
      </c>
      <c r="G56" s="11" cm="1">
        <f t="array" ref="G56">SUMPRODUCT(($C$4:$C$15=$C56)*($E$4:$E$15="Y")*(G$4:G$15))*INDEX(G$44:G$45,MATCH($F12,$F$44:$F$45,0))
-SUMPRODUCT(($C$21:$C$32=$C56)*($E$21:$E$32="Y")*(G$21:G$32))*INDEX(G$44:G$45,MATCH($F29,$F$44:$F$45,0))</f>
        <v>214200</v>
      </c>
      <c r="H56" s="11" cm="1">
        <f t="array" ref="H56">SUMPRODUCT(($C$4:$C$15=$C56)*($E$4:$E$15="Y")*(H$4:H$15))*INDEX(H$44:H$45,MATCH($F12,$F$44:$F$45,0))
-SUMPRODUCT(($C$21:$C$32=$C56)*($E$21:$E$32="Y")*(H$21:H$32))*INDEX(H$44:H$45,MATCH($F29,$F$44:$F$45,0))</f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</row>
    <row r="57" spans="3:15" x14ac:dyDescent="0.25">
      <c r="C57" s="6" t="str">
        <f t="shared" si="6"/>
        <v>General Capex - veg tablets</v>
      </c>
      <c r="D57" t="s">
        <v>10</v>
      </c>
      <c r="G57" s="11" cm="1">
        <f t="array" ref="G57">SUMPRODUCT(($C$4:$C$15=$C57)*($E$4:$E$15="Y")*(G$4:G$15))*INDEX(G$44:G$45,MATCH($F13,$F$44:$F$45,0))
-SUMPRODUCT(($C$21:$C$32=$C57)*($E$21:$E$32="Y")*(G$21:G$32))*INDEX(G$44:G$45,MATCH($F30,$F$44:$F$45,0))</f>
        <v>23177.21</v>
      </c>
      <c r="H57" s="11" cm="1">
        <f t="array" ref="H57">SUMPRODUCT(($C$4:$C$15=$C57)*($E$4:$E$15="Y")*(H$4:H$15))*INDEX(H$44:H$45,MATCH($F13,$F$44:$F$45,0))
-SUMPRODUCT(($C$21:$C$32=$C57)*($E$21:$E$32="Y")*(H$21:H$32))*INDEX(H$44:H$45,MATCH($F30,$F$44:$F$45,0))</f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</row>
    <row r="58" spans="3:15" x14ac:dyDescent="0.25">
      <c r="C58" s="6" t="str">
        <f t="shared" si="6"/>
        <v>Asset Inspection - Aerial</v>
      </c>
      <c r="D58" t="s">
        <v>9</v>
      </c>
      <c r="G58" s="11" cm="1">
        <f t="array" ref="G58">SUMPRODUCT(($C$4:$C$15=$C58)*($E$4:$E$15="Y")*(G$4:G$15))*INDEX(G$44:G$45,MATCH($F14,$F$44:$F$45,0))
-SUMPRODUCT(($C$21:$C$32=$C58)*($E$21:$E$32="Y")*(G$21:G$32))*INDEX(G$44:G$45,MATCH($F31,$F$44:$F$45,0))</f>
        <v>81525.78</v>
      </c>
      <c r="H58" s="11" cm="1">
        <f t="array" ref="H58">SUMPRODUCT(($C$4:$C$15=$C58)*($E$4:$E$15="Y")*(H$4:H$15))*INDEX(H$44:H$45,MATCH($F14,$F$44:$F$45,0))
-SUMPRODUCT(($C$21:$C$32=$C58)*($E$21:$E$32="Y")*(H$21:H$32))*INDEX(H$44:H$45,MATCH($F31,$F$44:$F$45,0))</f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</row>
    <row r="59" spans="3:15" x14ac:dyDescent="0.25">
      <c r="C59" s="6" t="str">
        <f t="shared" si="6"/>
        <v>Asset Inspection - Ground</v>
      </c>
      <c r="D59" t="s">
        <v>9</v>
      </c>
      <c r="G59" s="11" cm="1">
        <f t="array" ref="G59">SUMPRODUCT(($C$4:$C$15=$C59)*($E$4:$E$15="Y")*(G$4:G$15))*INDEX(G$44:G$45,MATCH($F15,$F$44:$F$45,0))
-SUMPRODUCT(($C$21:$C$32=$C59)*($E$21:$E$32="Y")*(G$21:G$32))*INDEX(G$44:G$45,MATCH($F32,$F$44:$F$45,0))</f>
        <v>19862.38</v>
      </c>
      <c r="H59" s="11" cm="1">
        <f t="array" ref="H59">SUMPRODUCT(($C$4:$C$15=$C59)*($E$4:$E$15="Y")*(H$4:H$15))*INDEX(H$44:H$45,MATCH($F15,$F$44:$F$45,0))
-SUMPRODUCT(($C$21:$C$32=$C59)*($E$21:$E$32="Y")*(H$21:H$32))*INDEX(H$44:H$45,MATCH($F32,$F$44:$F$45,0))</f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</row>
    <row r="60" spans="3:15" ht="15.75" thickBot="1" x14ac:dyDescent="0.3"/>
    <row r="61" spans="3:15" x14ac:dyDescent="0.25">
      <c r="C61" s="15" t="s">
        <v>11</v>
      </c>
      <c r="D61" s="12"/>
      <c r="E61" s="13"/>
      <c r="F61" s="13"/>
      <c r="G61" s="14">
        <f t="shared" ref="G61:M61" si="7">SUM(G48:G60)</f>
        <v>43172656.028313257</v>
      </c>
      <c r="H61" s="14">
        <f t="shared" si="7"/>
        <v>-77988.981603985783</v>
      </c>
      <c r="I61" s="14">
        <f t="shared" si="7"/>
        <v>0</v>
      </c>
      <c r="J61" s="14">
        <f t="shared" si="7"/>
        <v>0</v>
      </c>
      <c r="K61" s="14">
        <f t="shared" si="7"/>
        <v>0</v>
      </c>
      <c r="L61" s="14">
        <f t="shared" si="7"/>
        <v>0</v>
      </c>
      <c r="M61" s="14">
        <f t="shared" si="7"/>
        <v>0</v>
      </c>
    </row>
    <row r="62" spans="3:15" ht="5.0999999999999996" customHeight="1" x14ac:dyDescent="0.25"/>
    <row r="63" spans="3:15" x14ac:dyDescent="0.25">
      <c r="D63" t="s">
        <v>41</v>
      </c>
      <c r="G63" s="11">
        <f t="shared" ref="G63:M64" si="8">SUMIF($D$48:$D$59,$D63,G$48:G$59)</f>
        <v>15543325.868313253</v>
      </c>
      <c r="H63" s="11">
        <f t="shared" si="8"/>
        <v>-27379.225506424806</v>
      </c>
      <c r="I63" s="11">
        <f t="shared" si="8"/>
        <v>0</v>
      </c>
      <c r="J63" s="11">
        <f t="shared" si="8"/>
        <v>0</v>
      </c>
      <c r="K63" s="11">
        <f t="shared" si="8"/>
        <v>0</v>
      </c>
      <c r="L63" s="11">
        <f t="shared" si="8"/>
        <v>0</v>
      </c>
      <c r="M63" s="11">
        <f t="shared" si="8"/>
        <v>0</v>
      </c>
    </row>
    <row r="64" spans="3:15" x14ac:dyDescent="0.25">
      <c r="D64" t="s">
        <v>42</v>
      </c>
      <c r="G64" s="11">
        <f t="shared" si="8"/>
        <v>27629330.16</v>
      </c>
      <c r="H64" s="11">
        <f t="shared" si="8"/>
        <v>-50609.756097560974</v>
      </c>
      <c r="I64" s="11">
        <f t="shared" si="8"/>
        <v>0</v>
      </c>
      <c r="J64" s="11">
        <f t="shared" si="8"/>
        <v>0</v>
      </c>
      <c r="K64" s="11">
        <f t="shared" si="8"/>
        <v>0</v>
      </c>
      <c r="L64" s="11">
        <f t="shared" si="8"/>
        <v>0</v>
      </c>
      <c r="M64" s="11">
        <f t="shared" si="8"/>
        <v>0</v>
      </c>
    </row>
    <row r="66" spans="7:7" x14ac:dyDescent="0.25">
      <c r="G66" s="45"/>
    </row>
    <row r="67" spans="7:7" x14ac:dyDescent="0.25">
      <c r="G67" s="45"/>
    </row>
    <row r="68" spans="7:7" x14ac:dyDescent="0.25">
      <c r="G68" s="45"/>
    </row>
    <row r="69" spans="7:7" x14ac:dyDescent="0.25">
      <c r="G69" s="45"/>
    </row>
    <row r="70" spans="7:7" x14ac:dyDescent="0.25">
      <c r="G70" s="45"/>
    </row>
    <row r="71" spans="7:7" x14ac:dyDescent="0.25">
      <c r="G71" s="45"/>
    </row>
    <row r="72" spans="7:7" x14ac:dyDescent="0.25">
      <c r="G72" s="45"/>
    </row>
    <row r="73" spans="7:7" x14ac:dyDescent="0.25">
      <c r="G73" s="45"/>
    </row>
    <row r="74" spans="7:7" x14ac:dyDescent="0.25">
      <c r="G74" s="45"/>
    </row>
    <row r="75" spans="7:7" x14ac:dyDescent="0.25">
      <c r="G75" s="45"/>
    </row>
    <row r="76" spans="7:7" x14ac:dyDescent="0.25">
      <c r="G76" s="45"/>
    </row>
    <row r="77" spans="7:7" x14ac:dyDescent="0.25">
      <c r="G77" s="45"/>
    </row>
    <row r="78" spans="7:7" x14ac:dyDescent="0.25">
      <c r="G78" s="45"/>
    </row>
    <row r="80" spans="7:7" x14ac:dyDescent="0.25">
      <c r="G80" t="e">
        <f>INDEX(G$44:G$45,MATCH(#REF!,$F$44:$F$45,0))</f>
        <v>#REF!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444AC-D6B8-4DE8-A8A9-7C890FD5CBED}">
  <dimension ref="B1:V21"/>
  <sheetViews>
    <sheetView workbookViewId="0">
      <selection activeCell="P10" sqref="P10"/>
    </sheetView>
  </sheetViews>
  <sheetFormatPr defaultColWidth="8.85546875" defaultRowHeight="15" outlineLevelCol="1" x14ac:dyDescent="0.25"/>
  <cols>
    <col min="1" max="1" width="4.7109375" style="20" customWidth="1"/>
    <col min="2" max="2" width="5.28515625" style="20" customWidth="1"/>
    <col min="3" max="3" width="48.7109375" style="20" customWidth="1"/>
    <col min="4" max="10" width="8.5703125" style="20" hidden="1" customWidth="1" outlineLevel="1"/>
    <col min="11" max="11" width="8.5703125" style="20" customWidth="1" collapsed="1"/>
    <col min="12" max="16" width="8.5703125" style="20" customWidth="1"/>
    <col min="17" max="17" width="9" style="20" customWidth="1"/>
    <col min="18" max="22" width="8.5703125" style="20" customWidth="1"/>
    <col min="23" max="16384" width="8.85546875" style="20"/>
  </cols>
  <sheetData>
    <row r="1" spans="2:22" ht="21" x14ac:dyDescent="0.35">
      <c r="B1" s="19" t="s">
        <v>43</v>
      </c>
    </row>
    <row r="2" spans="2:22" x14ac:dyDescent="0.25">
      <c r="B2" s="21" t="s">
        <v>44</v>
      </c>
    </row>
    <row r="4" spans="2:22" x14ac:dyDescent="0.25">
      <c r="B4" s="22" t="s">
        <v>45</v>
      </c>
    </row>
    <row r="5" spans="2:22" x14ac:dyDescent="0.25">
      <c r="B5" s="22"/>
      <c r="L5" s="23"/>
    </row>
    <row r="6" spans="2:22" x14ac:dyDescent="0.25">
      <c r="B6" s="22"/>
      <c r="C6" s="24" t="s">
        <v>46</v>
      </c>
      <c r="D6" s="25">
        <v>39721</v>
      </c>
      <c r="E6" s="25">
        <f>EDATE(D6,12)</f>
        <v>40086</v>
      </c>
      <c r="F6" s="25">
        <f t="shared" ref="F6:I6" si="0">EDATE(E6,12)</f>
        <v>40451</v>
      </c>
      <c r="G6" s="25">
        <f t="shared" si="0"/>
        <v>40816</v>
      </c>
      <c r="H6" s="25">
        <f t="shared" si="0"/>
        <v>41182</v>
      </c>
      <c r="I6" s="25">
        <f t="shared" si="0"/>
        <v>41547</v>
      </c>
      <c r="J6" s="25">
        <v>41912</v>
      </c>
      <c r="K6" s="25">
        <v>42156</v>
      </c>
      <c r="L6" s="25">
        <f>EDATE(K6,12)</f>
        <v>42522</v>
      </c>
      <c r="M6" s="25">
        <f t="shared" ref="M6:O6" si="1">EDATE(L6,12)</f>
        <v>42887</v>
      </c>
      <c r="N6" s="25">
        <f t="shared" si="1"/>
        <v>43252</v>
      </c>
      <c r="O6" s="25">
        <f t="shared" si="1"/>
        <v>43617</v>
      </c>
      <c r="P6" s="26">
        <v>43831</v>
      </c>
      <c r="Q6" s="25">
        <f>EDATE(O6,12)</f>
        <v>43983</v>
      </c>
      <c r="R6" s="25">
        <f t="shared" ref="R6:V6" si="2">EDATE(Q6,12)</f>
        <v>44348</v>
      </c>
      <c r="S6" s="25">
        <f t="shared" si="2"/>
        <v>44713</v>
      </c>
      <c r="T6" s="25">
        <f t="shared" si="2"/>
        <v>45078</v>
      </c>
      <c r="U6" s="25">
        <f t="shared" si="2"/>
        <v>45444</v>
      </c>
      <c r="V6" s="25">
        <f t="shared" si="2"/>
        <v>45809</v>
      </c>
    </row>
    <row r="7" spans="2:22" x14ac:dyDescent="0.25">
      <c r="B7" s="22"/>
      <c r="C7" s="24"/>
      <c r="D7" s="25" t="s">
        <v>47</v>
      </c>
      <c r="E7" s="25" t="s">
        <v>47</v>
      </c>
      <c r="F7" s="25" t="s">
        <v>47</v>
      </c>
      <c r="G7" s="25" t="s">
        <v>47</v>
      </c>
      <c r="H7" s="25" t="s">
        <v>47</v>
      </c>
      <c r="I7" s="25" t="s">
        <v>47</v>
      </c>
      <c r="J7" s="25" t="s">
        <v>47</v>
      </c>
      <c r="K7" s="25" t="s">
        <v>47</v>
      </c>
      <c r="L7" s="25" t="s">
        <v>47</v>
      </c>
      <c r="M7" s="25" t="s">
        <v>47</v>
      </c>
      <c r="N7" s="25" t="s">
        <v>47</v>
      </c>
      <c r="O7" s="25" t="s">
        <v>47</v>
      </c>
      <c r="P7" s="25" t="s">
        <v>48</v>
      </c>
      <c r="Q7" s="25" t="s">
        <v>48</v>
      </c>
      <c r="R7" s="25" t="s">
        <v>48</v>
      </c>
      <c r="S7" s="25" t="s">
        <v>48</v>
      </c>
      <c r="T7" s="25" t="s">
        <v>48</v>
      </c>
      <c r="U7" s="25" t="s">
        <v>48</v>
      </c>
      <c r="V7" s="25" t="s">
        <v>48</v>
      </c>
    </row>
    <row r="8" spans="2:22" x14ac:dyDescent="0.25">
      <c r="B8" s="22"/>
      <c r="C8" s="24" t="s">
        <v>49</v>
      </c>
      <c r="D8" s="27">
        <v>2009</v>
      </c>
      <c r="E8" s="27">
        <v>2010</v>
      </c>
      <c r="F8" s="27">
        <v>2011</v>
      </c>
      <c r="G8" s="27">
        <v>2012</v>
      </c>
      <c r="H8" s="27">
        <v>2013</v>
      </c>
      <c r="I8" s="27">
        <v>2014</v>
      </c>
      <c r="J8" s="27">
        <v>2015</v>
      </c>
      <c r="K8" s="27">
        <v>2016</v>
      </c>
      <c r="L8" s="27">
        <v>2017</v>
      </c>
      <c r="M8" s="27">
        <v>2018</v>
      </c>
      <c r="N8" s="27">
        <v>2019</v>
      </c>
      <c r="O8" s="27">
        <v>2020</v>
      </c>
      <c r="P8" s="28" t="s">
        <v>50</v>
      </c>
      <c r="Q8" s="27">
        <v>2021</v>
      </c>
      <c r="R8" s="27">
        <v>2022</v>
      </c>
      <c r="S8" s="27">
        <v>2023</v>
      </c>
      <c r="T8" s="27">
        <v>2024</v>
      </c>
      <c r="U8" s="27">
        <v>2025</v>
      </c>
      <c r="V8" s="27">
        <v>2026</v>
      </c>
    </row>
    <row r="9" spans="2:22" x14ac:dyDescent="0.25">
      <c r="B9" s="22"/>
      <c r="C9" s="24" t="s">
        <v>51</v>
      </c>
      <c r="D9" s="29"/>
      <c r="E9" s="29"/>
      <c r="F9" s="29"/>
      <c r="G9" s="31"/>
      <c r="H9" s="31"/>
      <c r="I9" s="31"/>
      <c r="J9" s="31"/>
      <c r="K9" s="32">
        <v>107.5</v>
      </c>
      <c r="L9" s="30">
        <v>108.6</v>
      </c>
      <c r="M9" s="30">
        <v>110.7</v>
      </c>
      <c r="N9" s="30">
        <v>113</v>
      </c>
      <c r="O9" s="30">
        <v>114.8</v>
      </c>
      <c r="P9" s="30">
        <v>116.2</v>
      </c>
      <c r="Q9" s="30">
        <v>117.096</v>
      </c>
      <c r="R9" s="30">
        <f>Q9*(1+R10)</f>
        <v>119.96485199999999</v>
      </c>
      <c r="S9" s="30">
        <f>R9*(1+S10)</f>
        <v>122.90399087399999</v>
      </c>
      <c r="T9" s="30">
        <f>S9*(1+T10)</f>
        <v>125.91513865041298</v>
      </c>
      <c r="U9" s="30">
        <f>T9*(1+U10)</f>
        <v>129.00005954734809</v>
      </c>
      <c r="V9" s="30">
        <f>U9*(1+V10)</f>
        <v>132.16056100625812</v>
      </c>
    </row>
    <row r="10" spans="2:22" x14ac:dyDescent="0.25">
      <c r="B10" s="22"/>
      <c r="C10" s="24" t="s">
        <v>52</v>
      </c>
      <c r="D10" s="33"/>
      <c r="E10" s="33"/>
      <c r="F10" s="33"/>
      <c r="G10" s="33"/>
      <c r="H10" s="33"/>
      <c r="I10" s="33"/>
      <c r="J10" s="33"/>
      <c r="K10" s="34">
        <f>K9/105.9-1</f>
        <v>1.5108593012275628E-2</v>
      </c>
      <c r="L10" s="34">
        <f>L9/K9-1</f>
        <v>1.0232558139534831E-2</v>
      </c>
      <c r="M10" s="34">
        <f>M9/L9-1</f>
        <v>1.9337016574585641E-2</v>
      </c>
      <c r="N10" s="34">
        <f>N9/M9-1</f>
        <v>2.0776874435411097E-2</v>
      </c>
      <c r="O10" s="34">
        <f>O9/N9-1</f>
        <v>1.5929203539823078E-2</v>
      </c>
      <c r="P10" s="35">
        <f>P9/O9-1</f>
        <v>1.2195121951219523E-2</v>
      </c>
      <c r="Q10" s="35">
        <f>Q9/O9-1</f>
        <v>2.0000000000000018E-2</v>
      </c>
      <c r="R10" s="36">
        <v>2.4500000000000001E-2</v>
      </c>
      <c r="S10" s="36">
        <v>2.4500000000000001E-2</v>
      </c>
      <c r="T10" s="36">
        <v>2.4500000000000001E-2</v>
      </c>
      <c r="U10" s="36">
        <v>2.4500000000000001E-2</v>
      </c>
      <c r="V10" s="36">
        <v>2.4500000000000001E-2</v>
      </c>
    </row>
    <row r="11" spans="2:22" x14ac:dyDescent="0.25">
      <c r="B11" s="22"/>
      <c r="C11" s="24" t="s">
        <v>66</v>
      </c>
      <c r="D11" s="33"/>
      <c r="E11" s="33"/>
      <c r="F11" s="33"/>
      <c r="G11" s="33"/>
      <c r="H11" s="33"/>
      <c r="I11" s="37"/>
      <c r="J11" s="37">
        <v>1</v>
      </c>
      <c r="K11" s="38">
        <f>J11*(1+K10)</f>
        <v>1.0151085930122756</v>
      </c>
      <c r="L11" s="38">
        <f t="shared" ref="L11:V11" si="3">K11*(1+L10)</f>
        <v>1.0254957507082152</v>
      </c>
      <c r="M11" s="38">
        <f t="shared" si="3"/>
        <v>1.0453257790368271</v>
      </c>
      <c r="N11" s="38">
        <f t="shared" si="3"/>
        <v>1.0670443814919734</v>
      </c>
      <c r="O11" s="38">
        <f t="shared" si="3"/>
        <v>1.0840415486307837</v>
      </c>
      <c r="P11" s="38">
        <f t="shared" si="3"/>
        <v>1.0972615675165249</v>
      </c>
      <c r="Q11" s="38">
        <f t="shared" si="3"/>
        <v>1.1192067988668555</v>
      </c>
      <c r="R11" s="38">
        <f t="shared" si="3"/>
        <v>1.1466273654390935</v>
      </c>
      <c r="S11" s="38">
        <f t="shared" si="3"/>
        <v>1.1747197358923513</v>
      </c>
      <c r="T11" s="38">
        <f t="shared" si="3"/>
        <v>1.2035003694217139</v>
      </c>
      <c r="U11" s="38">
        <f t="shared" si="3"/>
        <v>1.2329861284725459</v>
      </c>
      <c r="V11" s="38">
        <f t="shared" si="3"/>
        <v>1.2631942886201233</v>
      </c>
    </row>
    <row r="12" spans="2:22" x14ac:dyDescent="0.25">
      <c r="B12" s="22"/>
      <c r="C12" s="24" t="s">
        <v>67</v>
      </c>
      <c r="D12" s="33"/>
      <c r="E12" s="33"/>
      <c r="F12" s="33"/>
      <c r="G12" s="38"/>
      <c r="H12" s="38"/>
      <c r="I12" s="38"/>
      <c r="J12" s="38"/>
      <c r="K12" s="38"/>
      <c r="L12" s="38"/>
      <c r="M12" s="38">
        <v>1</v>
      </c>
      <c r="N12" s="38">
        <f>M12*(1+N10)</f>
        <v>1.0207768744354111</v>
      </c>
      <c r="O12" s="38">
        <f t="shared" ref="O12:V12" si="4">N12*(1+O10)</f>
        <v>1.0370370370370372</v>
      </c>
      <c r="P12" s="38">
        <f t="shared" si="4"/>
        <v>1.0496838301716351</v>
      </c>
      <c r="Q12" s="38">
        <f>O12*(1+Q10)</f>
        <v>1.0577777777777779</v>
      </c>
      <c r="R12" s="38">
        <f t="shared" si="4"/>
        <v>1.0836933333333334</v>
      </c>
      <c r="S12" s="38">
        <f t="shared" si="4"/>
        <v>1.11024382</v>
      </c>
      <c r="T12" s="38">
        <f t="shared" si="4"/>
        <v>1.1374447935900001</v>
      </c>
      <c r="U12" s="38">
        <f t="shared" si="4"/>
        <v>1.1653121910329549</v>
      </c>
      <c r="V12" s="38">
        <f t="shared" si="4"/>
        <v>1.1938623397132622</v>
      </c>
    </row>
    <row r="13" spans="2:22" x14ac:dyDescent="0.25">
      <c r="B13" s="22"/>
      <c r="C13" s="24" t="s">
        <v>65</v>
      </c>
      <c r="D13" s="33"/>
      <c r="E13" s="33"/>
      <c r="F13" s="33"/>
      <c r="G13" s="38"/>
      <c r="H13" s="38"/>
      <c r="I13" s="38"/>
      <c r="J13" s="38"/>
      <c r="K13" s="38"/>
      <c r="L13" s="38"/>
      <c r="M13" s="38"/>
      <c r="N13" s="38"/>
      <c r="O13" s="38">
        <v>1</v>
      </c>
      <c r="P13" s="37">
        <f>P9/$O$9</f>
        <v>1.0121951219512195</v>
      </c>
      <c r="Q13" s="37">
        <f t="shared" ref="Q13:V13" si="5">Q9/$O$9</f>
        <v>1.02</v>
      </c>
      <c r="R13" s="37">
        <f t="shared" si="5"/>
        <v>1.0449899999999999</v>
      </c>
      <c r="S13" s="37">
        <f t="shared" si="5"/>
        <v>1.070592255</v>
      </c>
      <c r="T13" s="37">
        <f t="shared" si="5"/>
        <v>1.0968217652474999</v>
      </c>
      <c r="U13" s="37">
        <f t="shared" si="5"/>
        <v>1.1236938984960636</v>
      </c>
      <c r="V13" s="37">
        <f t="shared" si="5"/>
        <v>1.151224399009217</v>
      </c>
    </row>
    <row r="14" spans="2:22" x14ac:dyDescent="0.25">
      <c r="B14" s="22"/>
      <c r="C14" s="24" t="s">
        <v>53</v>
      </c>
      <c r="D14" s="33"/>
      <c r="E14" s="34"/>
      <c r="F14" s="34"/>
      <c r="G14" s="34"/>
      <c r="H14" s="34"/>
      <c r="I14" s="39"/>
      <c r="J14" s="37"/>
      <c r="K14" s="37"/>
      <c r="L14" s="37"/>
      <c r="M14" s="37"/>
      <c r="N14" s="37"/>
      <c r="O14" s="37">
        <f>P14/(1+P10)</f>
        <v>0.98795180722891562</v>
      </c>
      <c r="P14" s="37">
        <v>1</v>
      </c>
      <c r="Q14" s="37">
        <f t="shared" ref="Q14:V14" si="6">Q9/$P$9</f>
        <v>1.007710843373494</v>
      </c>
      <c r="R14" s="37">
        <f t="shared" si="6"/>
        <v>1.0323997590361444</v>
      </c>
      <c r="S14" s="37">
        <f t="shared" si="6"/>
        <v>1.05769355313253</v>
      </c>
      <c r="T14" s="37">
        <f t="shared" si="6"/>
        <v>1.083607045184277</v>
      </c>
      <c r="U14" s="37">
        <f t="shared" si="6"/>
        <v>1.1101554177912916</v>
      </c>
      <c r="V14" s="37">
        <f t="shared" si="6"/>
        <v>1.1373542255271782</v>
      </c>
    </row>
    <row r="15" spans="2:22" x14ac:dyDescent="0.25">
      <c r="B15" s="22"/>
      <c r="C15" s="24" t="s">
        <v>64</v>
      </c>
      <c r="D15" s="33"/>
      <c r="E15" s="34"/>
      <c r="F15" s="34"/>
      <c r="G15" s="34"/>
      <c r="H15" s="34"/>
      <c r="I15" s="39"/>
      <c r="J15" s="37"/>
      <c r="K15" s="38">
        <f t="shared" ref="K15" si="7">(1+L$10)*L15</f>
        <v>1.0679069767441862</v>
      </c>
      <c r="L15" s="38">
        <f t="shared" ref="L15" si="8">(1+M$10)*M15</f>
        <v>1.0570902394106816</v>
      </c>
      <c r="M15" s="38">
        <f t="shared" ref="M15" si="9">(1+N$10)*N15</f>
        <v>1.0370370370370372</v>
      </c>
      <c r="N15" s="38">
        <f t="shared" ref="J15:N16" si="10">(1+O$10)*O15</f>
        <v>1.0159292035398231</v>
      </c>
      <c r="O15" s="37">
        <v>1</v>
      </c>
      <c r="P15" s="37">
        <f t="shared" ref="P15:Q15" si="11">$O$9/P9</f>
        <v>0.98795180722891562</v>
      </c>
      <c r="Q15" s="37">
        <f t="shared" si="11"/>
        <v>0.98039215686274506</v>
      </c>
      <c r="R15" s="37">
        <f>$O$9/R9</f>
        <v>0.95694695643020511</v>
      </c>
      <c r="S15" s="37"/>
      <c r="T15" s="37"/>
      <c r="U15" s="37"/>
      <c r="V15" s="37"/>
    </row>
    <row r="16" spans="2:22" x14ac:dyDescent="0.25">
      <c r="B16" s="22"/>
      <c r="C16" s="24" t="s">
        <v>54</v>
      </c>
      <c r="D16" s="38"/>
      <c r="E16" s="38"/>
      <c r="F16" s="38"/>
      <c r="G16" s="38"/>
      <c r="H16" s="38"/>
      <c r="I16" s="38"/>
      <c r="J16" s="38">
        <f t="shared" si="10"/>
        <v>1.0972615675165249</v>
      </c>
      <c r="K16" s="38">
        <f t="shared" si="10"/>
        <v>1.0809302325581396</v>
      </c>
      <c r="L16" s="38">
        <f t="shared" si="10"/>
        <v>1.0699815837937385</v>
      </c>
      <c r="M16" s="38">
        <f t="shared" si="10"/>
        <v>1.0496838301716351</v>
      </c>
      <c r="N16" s="38">
        <f t="shared" si="10"/>
        <v>1.0283185840707965</v>
      </c>
      <c r="O16" s="38">
        <f>(1+P$10)*P16</f>
        <v>1.0121951219512195</v>
      </c>
      <c r="P16" s="37">
        <v>1</v>
      </c>
      <c r="Q16" s="24"/>
      <c r="R16" s="24"/>
      <c r="S16" s="24"/>
      <c r="T16" s="24"/>
      <c r="U16" s="24"/>
      <c r="V16" s="24"/>
    </row>
    <row r="17" spans="2:22" x14ac:dyDescent="0.25">
      <c r="B17" s="22"/>
      <c r="C17" s="24" t="s">
        <v>55</v>
      </c>
      <c r="D17" s="38"/>
      <c r="E17" s="38"/>
      <c r="F17" s="38"/>
      <c r="G17" s="38"/>
      <c r="H17" s="38"/>
      <c r="I17" s="38"/>
      <c r="J17" s="38"/>
      <c r="K17" s="38">
        <f t="shared" ref="K17:N17" si="12">$Q$9/K9</f>
        <v>1.0892651162790699</v>
      </c>
      <c r="L17" s="38">
        <f t="shared" si="12"/>
        <v>1.0782320441988951</v>
      </c>
      <c r="M17" s="38">
        <f t="shared" si="12"/>
        <v>1.0577777777777777</v>
      </c>
      <c r="N17" s="38">
        <f t="shared" si="12"/>
        <v>1.0362477876106195</v>
      </c>
      <c r="O17" s="38">
        <f>$Q$9/O9</f>
        <v>1.02</v>
      </c>
      <c r="P17" s="38">
        <f>$Q$9/P9</f>
        <v>1.007710843373494</v>
      </c>
      <c r="Q17" s="37">
        <v>1</v>
      </c>
      <c r="R17" s="37">
        <f>$Q$9/R9</f>
        <v>0.97608589555880931</v>
      </c>
      <c r="S17" s="37">
        <f t="shared" ref="S17:V17" si="13">$Q$9/S9</f>
        <v>0.95274367550884265</v>
      </c>
      <c r="T17" s="37">
        <f t="shared" si="13"/>
        <v>0.9299596637470402</v>
      </c>
      <c r="U17" s="37">
        <f t="shared" si="13"/>
        <v>0.90772051122209885</v>
      </c>
      <c r="V17" s="37">
        <f t="shared" si="13"/>
        <v>0.88601318811332241</v>
      </c>
    </row>
    <row r="18" spans="2:22" x14ac:dyDescent="0.25">
      <c r="B18" s="22"/>
      <c r="C18" s="24" t="s">
        <v>58</v>
      </c>
      <c r="D18" s="38"/>
      <c r="E18" s="38"/>
      <c r="F18" s="38"/>
      <c r="G18" s="38"/>
      <c r="H18" s="38"/>
      <c r="I18" s="38"/>
      <c r="J18" s="38"/>
      <c r="K18" s="38">
        <f t="shared" ref="K18:O18" si="14">1/K11</f>
        <v>0.98511627906976751</v>
      </c>
      <c r="L18" s="38">
        <f t="shared" si="14"/>
        <v>0.97513812154696144</v>
      </c>
      <c r="M18" s="38">
        <f t="shared" si="14"/>
        <v>0.95663956639566405</v>
      </c>
      <c r="N18" s="38">
        <f t="shared" si="14"/>
        <v>0.9371681415929205</v>
      </c>
      <c r="O18" s="38">
        <f t="shared" si="14"/>
        <v>0.92247386759581884</v>
      </c>
      <c r="P18" s="38">
        <f>1/P11</f>
        <v>0.91135972461273673</v>
      </c>
      <c r="Q18" s="37"/>
      <c r="R18" s="37"/>
      <c r="S18" s="37"/>
      <c r="T18" s="37"/>
      <c r="U18" s="37"/>
      <c r="V18" s="37"/>
    </row>
    <row r="19" spans="2:22" ht="11.25" customHeight="1" x14ac:dyDescent="0.25">
      <c r="B19" s="22"/>
      <c r="C19" s="40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</row>
    <row r="20" spans="2:22" x14ac:dyDescent="0.25">
      <c r="B20" s="22"/>
      <c r="C20" s="40" t="s">
        <v>56</v>
      </c>
    </row>
    <row r="21" spans="2:22" x14ac:dyDescent="0.25">
      <c r="B21" s="22"/>
      <c r="C21" s="40"/>
      <c r="G21" s="20" t="s">
        <v>57</v>
      </c>
      <c r="J21" s="42">
        <f>(1+K10)^0.5*(1+L10)*(1+M10)</f>
        <v>1.0375174472699489</v>
      </c>
    </row>
  </sheetData>
  <hyperlinks>
    <hyperlink ref="B2" location="Contents!A1" display="Table of Contents" xr:uid="{05CD9FE7-A2D2-4463-B954-8E2E745F33F2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A8CE1-1DA3-415F-9EA0-7A4482ED4DE1}">
  <dimension ref="B3:E12"/>
  <sheetViews>
    <sheetView workbookViewId="0">
      <selection activeCell="M30" sqref="M30"/>
    </sheetView>
  </sheetViews>
  <sheetFormatPr defaultRowHeight="15" x14ac:dyDescent="0.25"/>
  <cols>
    <col min="2" max="2" width="3.7109375" customWidth="1"/>
  </cols>
  <sheetData>
    <row r="3" spans="2:5" s="16" customFormat="1" x14ac:dyDescent="0.25">
      <c r="D3" s="16">
        <v>2020</v>
      </c>
      <c r="E3" s="16" t="s">
        <v>59</v>
      </c>
    </row>
    <row r="5" spans="2:5" x14ac:dyDescent="0.25">
      <c r="B5" s="10" t="s">
        <v>60</v>
      </c>
    </row>
    <row r="6" spans="2:5" x14ac:dyDescent="0.25">
      <c r="C6" t="s">
        <v>41</v>
      </c>
      <c r="D6" s="47">
        <f>'Bushfire PT'!G63/1000000</f>
        <v>15.543325868313254</v>
      </c>
      <c r="E6" s="47">
        <f>'Bushfire PT'!H63/1000000</f>
        <v>-2.7379225506424805E-2</v>
      </c>
    </row>
    <row r="7" spans="2:5" x14ac:dyDescent="0.25">
      <c r="C7" t="s">
        <v>42</v>
      </c>
      <c r="D7" s="47">
        <f>'Bushfire PT'!G64/1000000</f>
        <v>27.629330159999999</v>
      </c>
      <c r="E7" s="47">
        <f>'Bushfire PT'!H64/1000000</f>
        <v>-5.0609756097560972E-2</v>
      </c>
    </row>
    <row r="9" spans="2:5" x14ac:dyDescent="0.25">
      <c r="B9" s="10" t="s">
        <v>62</v>
      </c>
    </row>
    <row r="10" spans="2:5" x14ac:dyDescent="0.25">
      <c r="D10" s="43" t="s">
        <v>61</v>
      </c>
      <c r="E10" s="43" t="s">
        <v>63</v>
      </c>
    </row>
    <row r="11" spans="2:5" x14ac:dyDescent="0.25">
      <c r="C11" t="s">
        <v>41</v>
      </c>
      <c r="D11" s="47">
        <f>'Bushfire PT'!G63/1000000*Escalators!$O$18</f>
        <v>14.338311929045066</v>
      </c>
      <c r="E11" s="47">
        <f>'Bushfire PT'!H63/1000000*Escalators!$P$15</f>
        <v>-2.7049355319600409E-2</v>
      </c>
    </row>
    <row r="12" spans="2:5" x14ac:dyDescent="0.25">
      <c r="C12" t="s">
        <v>42</v>
      </c>
      <c r="D12" s="47">
        <f>'Bushfire PT'!G64/1000000*Escalators!$O$18</f>
        <v>25.487335051777002</v>
      </c>
      <c r="E12" s="47">
        <f>'Bushfire PT'!H64/1000000*Escalators!$P$15</f>
        <v>-4.9999999999999996E-2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5D2D4-6DD2-4542-AD67-29EEF89D5517}">
  <dimension ref="A1:L16"/>
  <sheetViews>
    <sheetView tabSelected="1" workbookViewId="0">
      <selection activeCell="C21" sqref="C21"/>
    </sheetView>
  </sheetViews>
  <sheetFormatPr defaultRowHeight="15" x14ac:dyDescent="0.25"/>
  <cols>
    <col min="1" max="1" width="51.5703125" customWidth="1"/>
    <col min="3" max="11" width="17.140625" customWidth="1"/>
    <col min="13" max="13" width="16.28515625" bestFit="1" customWidth="1"/>
  </cols>
  <sheetData>
    <row r="1" spans="1:12" x14ac:dyDescent="0.25">
      <c r="A1" t="s">
        <v>0</v>
      </c>
      <c r="B1" t="s">
        <v>1</v>
      </c>
      <c r="C1">
        <v>2019</v>
      </c>
      <c r="D1">
        <v>2020</v>
      </c>
      <c r="E1" t="s">
        <v>2</v>
      </c>
      <c r="F1">
        <v>2022</v>
      </c>
      <c r="G1">
        <v>2023</v>
      </c>
      <c r="H1">
        <v>2024</v>
      </c>
      <c r="I1">
        <v>2025</v>
      </c>
      <c r="J1">
        <v>2026</v>
      </c>
      <c r="K1" t="s">
        <v>11</v>
      </c>
      <c r="L1" t="s">
        <v>12</v>
      </c>
    </row>
    <row r="3" spans="1:12" x14ac:dyDescent="0.25">
      <c r="A3" t="s">
        <v>4</v>
      </c>
      <c r="B3" t="s">
        <v>9</v>
      </c>
      <c r="D3" s="1">
        <v>345208</v>
      </c>
      <c r="K3" s="1">
        <f t="shared" ref="K3:K14" si="0">SUM(D3:J3)</f>
        <v>345208</v>
      </c>
    </row>
    <row r="4" spans="1:12" x14ac:dyDescent="0.25">
      <c r="A4" t="s">
        <v>5</v>
      </c>
      <c r="B4" t="s">
        <v>9</v>
      </c>
      <c r="D4" s="1">
        <f>8037291</f>
        <v>8037291</v>
      </c>
      <c r="K4" s="1">
        <f t="shared" si="0"/>
        <v>8037291</v>
      </c>
    </row>
    <row r="5" spans="1:12" x14ac:dyDescent="0.25">
      <c r="A5" t="s">
        <v>3</v>
      </c>
      <c r="B5" t="s">
        <v>9</v>
      </c>
      <c r="D5" s="5">
        <v>4658047</v>
      </c>
      <c r="K5" s="1">
        <f t="shared" si="0"/>
        <v>4658047</v>
      </c>
    </row>
    <row r="6" spans="1:12" x14ac:dyDescent="0.25">
      <c r="A6" s="48"/>
      <c r="B6" t="s">
        <v>9</v>
      </c>
      <c r="D6" s="1">
        <v>705039</v>
      </c>
      <c r="K6" s="1">
        <f t="shared" si="0"/>
        <v>705039</v>
      </c>
    </row>
    <row r="7" spans="1:12" x14ac:dyDescent="0.25">
      <c r="A7" s="48"/>
      <c r="B7" t="s">
        <v>9</v>
      </c>
      <c r="D7" s="1">
        <v>29762</v>
      </c>
      <c r="K7" s="1">
        <f t="shared" si="0"/>
        <v>29762</v>
      </c>
    </row>
    <row r="8" spans="1:12" x14ac:dyDescent="0.25">
      <c r="A8" t="s">
        <v>6</v>
      </c>
      <c r="B8" t="s">
        <v>10</v>
      </c>
      <c r="D8" s="1">
        <v>755288</v>
      </c>
      <c r="K8" s="1">
        <f t="shared" si="0"/>
        <v>755288</v>
      </c>
    </row>
    <row r="9" spans="1:12" x14ac:dyDescent="0.25">
      <c r="A9" s="48"/>
      <c r="B9" t="s">
        <v>10</v>
      </c>
      <c r="D9" s="1">
        <v>6313592</v>
      </c>
      <c r="K9" s="1">
        <f t="shared" si="0"/>
        <v>6313592</v>
      </c>
    </row>
    <row r="10" spans="1:12" x14ac:dyDescent="0.25">
      <c r="A10" s="48"/>
      <c r="B10" t="s">
        <v>10</v>
      </c>
      <c r="D10" s="1">
        <v>267857</v>
      </c>
      <c r="K10" s="1">
        <f t="shared" si="0"/>
        <v>267857</v>
      </c>
    </row>
    <row r="11" spans="1:12" x14ac:dyDescent="0.25">
      <c r="A11" t="s">
        <v>7</v>
      </c>
      <c r="B11" t="s">
        <v>10</v>
      </c>
      <c r="D11" s="5">
        <v>214200</v>
      </c>
      <c r="K11" s="1">
        <f t="shared" si="0"/>
        <v>214200</v>
      </c>
    </row>
    <row r="12" spans="1:12" x14ac:dyDescent="0.25">
      <c r="A12" t="s">
        <v>8</v>
      </c>
      <c r="B12" t="s">
        <v>10</v>
      </c>
      <c r="D12" s="1">
        <v>23177.21</v>
      </c>
      <c r="K12" s="1">
        <f t="shared" si="0"/>
        <v>23177.21</v>
      </c>
    </row>
    <row r="13" spans="1:12" x14ac:dyDescent="0.25">
      <c r="A13" t="s">
        <v>13</v>
      </c>
      <c r="B13" t="s">
        <v>9</v>
      </c>
      <c r="D13" s="1"/>
      <c r="K13" s="1">
        <f t="shared" si="0"/>
        <v>0</v>
      </c>
    </row>
    <row r="14" spans="1:12" x14ac:dyDescent="0.25">
      <c r="A14" t="s">
        <v>14</v>
      </c>
      <c r="B14" t="s">
        <v>9</v>
      </c>
      <c r="D14" s="1"/>
      <c r="J14" s="1"/>
      <c r="K14" s="1">
        <f t="shared" si="0"/>
        <v>0</v>
      </c>
    </row>
    <row r="15" spans="1:12" ht="15.75" thickBot="1" x14ac:dyDescent="0.3">
      <c r="A15" s="3"/>
      <c r="B15" s="3"/>
      <c r="C15" s="3"/>
      <c r="D15" s="7"/>
      <c r="E15" s="7"/>
      <c r="F15" s="3"/>
      <c r="G15" s="3"/>
      <c r="H15" s="3"/>
      <c r="I15" s="3"/>
      <c r="J15" s="3"/>
      <c r="K15" s="4"/>
    </row>
    <row r="16" spans="1:12" x14ac:dyDescent="0.25">
      <c r="A16" t="s">
        <v>11</v>
      </c>
      <c r="D16" s="1">
        <f t="shared" ref="D16:J16" si="1">SUM(D3:D14)</f>
        <v>21349461.210000001</v>
      </c>
      <c r="E16" s="1">
        <f t="shared" si="1"/>
        <v>0</v>
      </c>
      <c r="F16" s="1">
        <f t="shared" si="1"/>
        <v>0</v>
      </c>
      <c r="G16" s="1">
        <f t="shared" si="1"/>
        <v>0</v>
      </c>
      <c r="H16" s="1">
        <f t="shared" si="1"/>
        <v>0</v>
      </c>
      <c r="I16" s="1">
        <f t="shared" si="1"/>
        <v>0</v>
      </c>
      <c r="J16" s="1">
        <f t="shared" si="1"/>
        <v>0</v>
      </c>
      <c r="K16" s="2">
        <f>SUM(K3:K15)</f>
        <v>21349461.210000001</v>
      </c>
    </row>
  </sheetData>
  <pageMargins left="0.7" right="0.7" top="0.75" bottom="0.75" header="0.3" footer="0.3"/>
</worksheet>
</file>

<file path=customXML/item.xml>�� 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Bushfire PT</vt:lpstr>
      <vt:lpstr>Escalators</vt:lpstr>
      <vt:lpstr>Links</vt:lpstr>
      <vt:lpstr>Actual costs - reviewed by KPMG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2020-06-02T03:52:17Z</dcterms:modified>
</cp:coreProperties>
</file>