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24"/>
  <workbookPr/>
  <mc:AlternateContent xmlns:mc="http://schemas.openxmlformats.org/markup-compatibility/2006">
    <mc:Choice Requires="x15">
      <x15ac:absPath xmlns:x15ac="http://schemas.microsoft.com/office/spreadsheetml/2010/11/ac" url="X:\Regulation\Price Review\2016-20 EDPR\10.0 2016 EDPR - Modelling\Bushfire Pass Through\"/>
    </mc:Choice>
  </mc:AlternateContent>
  <xr:revisionPtr revIDLastSave="2" documentId="13_ncr:1_{85418295-04AE-4337-B494-1393CEF158D2}" xr6:coauthVersionLast="45" xr6:coauthVersionMax="45" xr10:uidLastSave="{D2348D06-D208-43B3-86FB-6425B84299C5}"/>
  <bookViews>
    <workbookView xWindow="-120" yWindow="-120" windowWidth="29040" windowHeight="16440" firstSheet="1" activeTab="1" xr2:uid="{D44246A4-90B2-4399-BAAD-3CCD68EE8A48}"/>
  </bookViews>
  <sheets>
    <sheet name="Summary" sheetId="2" r:id="rId1"/>
    <sheet name="Busfire PT" sheetId="4" r:id="rId2"/>
    <sheet name="Escalators" sheetId="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MdoStgs" hidden="1">"{8F37F908-06A3-452B-A6D6-532A880ADFB1}"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4" l="1"/>
  <c r="M36" i="2" l="1"/>
  <c r="N36" i="2"/>
  <c r="O36" i="2"/>
  <c r="P36" i="2"/>
  <c r="Q36" i="2" s="1"/>
  <c r="M37" i="2"/>
  <c r="N37" i="2"/>
  <c r="O37" i="2"/>
  <c r="P37" i="2"/>
  <c r="Q37" i="2" s="1"/>
  <c r="L37" i="2"/>
  <c r="L36" i="2"/>
  <c r="N46" i="2" l="1"/>
  <c r="N49" i="2" s="1"/>
  <c r="O46" i="2"/>
  <c r="O49" i="2" s="1"/>
  <c r="P46" i="2"/>
  <c r="P49" i="2" s="1"/>
  <c r="Q46" i="2"/>
  <c r="Q49" i="2" s="1"/>
  <c r="M46" i="2"/>
  <c r="M49" i="2" s="1"/>
  <c r="L46" i="2"/>
  <c r="L49" i="2" l="1"/>
  <c r="O17" i="5"/>
  <c r="N17" i="5"/>
  <c r="M17" i="5"/>
  <c r="L17" i="5"/>
  <c r="K17" i="5"/>
  <c r="Q15" i="5"/>
  <c r="Q13" i="5"/>
  <c r="Q10" i="5"/>
  <c r="O10" i="5"/>
  <c r="N10" i="5"/>
  <c r="M10" i="5"/>
  <c r="L10" i="5"/>
  <c r="K10" i="5"/>
  <c r="J21" i="5" s="1"/>
  <c r="R9" i="5"/>
  <c r="R15" i="5" s="1"/>
  <c r="P9" i="5"/>
  <c r="P15" i="5" s="1"/>
  <c r="L6" i="5"/>
  <c r="M6" i="5" s="1"/>
  <c r="N6" i="5" s="1"/>
  <c r="O6" i="5" s="1"/>
  <c r="Q6" i="5" s="1"/>
  <c r="R6" i="5" s="1"/>
  <c r="S6" i="5" s="1"/>
  <c r="T6" i="5" s="1"/>
  <c r="U6" i="5" s="1"/>
  <c r="V6" i="5" s="1"/>
  <c r="E6" i="5"/>
  <c r="F6" i="5" s="1"/>
  <c r="G6" i="5" s="1"/>
  <c r="H6" i="5" s="1"/>
  <c r="I6" i="5" s="1"/>
  <c r="N12" i="5" l="1"/>
  <c r="O12" i="5" s="1"/>
  <c r="S9" i="5"/>
  <c r="P13" i="5"/>
  <c r="Q14" i="5"/>
  <c r="P17" i="5"/>
  <c r="P10" i="5"/>
  <c r="R14" i="5"/>
  <c r="N15" i="5"/>
  <c r="M15" i="5" s="1"/>
  <c r="L15" i="5" s="1"/>
  <c r="K15" i="5" s="1"/>
  <c r="R17" i="5"/>
  <c r="R13" i="5"/>
  <c r="K11" i="5"/>
  <c r="O16" i="5" l="1"/>
  <c r="N16" i="5" s="1"/>
  <c r="M16" i="5" s="1"/>
  <c r="L16" i="5" s="1"/>
  <c r="K16" i="5" s="1"/>
  <c r="J16" i="5" s="1"/>
  <c r="O14" i="5"/>
  <c r="L11" i="5"/>
  <c r="K18" i="5"/>
  <c r="S13" i="5"/>
  <c r="S17" i="5"/>
  <c r="S14" i="5"/>
  <c r="T9" i="5"/>
  <c r="Q12" i="5"/>
  <c r="R12" i="5" s="1"/>
  <c r="S12" i="5" s="1"/>
  <c r="T12" i="5" s="1"/>
  <c r="U12" i="5" s="1"/>
  <c r="V12" i="5" s="1"/>
  <c r="P12" i="5"/>
  <c r="T13" i="5" l="1"/>
  <c r="T17" i="5"/>
  <c r="T14" i="5"/>
  <c r="U9" i="5"/>
  <c r="L18" i="5"/>
  <c r="M11" i="5"/>
  <c r="M18" i="5" l="1"/>
  <c r="N11" i="5"/>
  <c r="U17" i="5"/>
  <c r="U14" i="5"/>
  <c r="V9" i="5"/>
  <c r="U13" i="5"/>
  <c r="V13" i="5" l="1"/>
  <c r="V17" i="5"/>
  <c r="V14" i="5"/>
  <c r="N18" i="5"/>
  <c r="O11" i="5"/>
  <c r="O18" i="5" l="1"/>
  <c r="P11" i="5"/>
  <c r="P18" i="5" l="1"/>
  <c r="Q11" i="5"/>
  <c r="R11" i="5" s="1"/>
  <c r="S11" i="5" s="1"/>
  <c r="T11" i="5" s="1"/>
  <c r="U11" i="5" s="1"/>
  <c r="V11" i="5" s="1"/>
  <c r="G10" i="2" l="1"/>
  <c r="F10" i="2"/>
  <c r="G8" i="2"/>
  <c r="F8" i="2"/>
  <c r="L9" i="4" l="1"/>
  <c r="I38" i="4"/>
  <c r="H38" i="4"/>
  <c r="G38" i="4"/>
  <c r="F38" i="4"/>
  <c r="E38" i="4"/>
  <c r="I17" i="4"/>
  <c r="H17" i="4"/>
  <c r="G17" i="4"/>
  <c r="F17" i="4"/>
  <c r="E17" i="4"/>
  <c r="L8" i="4" l="1"/>
  <c r="L30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C19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F8" i="4"/>
  <c r="G8" i="4"/>
  <c r="H8" i="4"/>
  <c r="I8" i="4"/>
  <c r="E8" i="4"/>
  <c r="H13" i="4" l="1"/>
  <c r="E34" i="4"/>
  <c r="H34" i="4"/>
  <c r="G13" i="4"/>
  <c r="I13" i="4"/>
  <c r="L11" i="4"/>
  <c r="L10" i="4"/>
  <c r="L29" i="4"/>
  <c r="F34" i="4"/>
  <c r="G34" i="4"/>
  <c r="F13" i="4"/>
  <c r="I34" i="4"/>
  <c r="E13" i="4"/>
  <c r="L32" i="4" l="1"/>
  <c r="L31" i="4"/>
  <c r="L12" i="4" l="1"/>
  <c r="L13" i="4" s="1"/>
  <c r="L33" i="4" l="1"/>
  <c r="L34" i="4" s="1"/>
  <c r="C40" i="4" l="1"/>
  <c r="J34" i="4"/>
  <c r="J33" i="4"/>
  <c r="F44" i="4"/>
  <c r="J31" i="4"/>
  <c r="J30" i="4"/>
  <c r="J13" i="4"/>
  <c r="F23" i="4"/>
  <c r="J10" i="4"/>
  <c r="J9" i="4"/>
  <c r="E20" i="2" l="1"/>
  <c r="E32" i="2"/>
  <c r="I44" i="4"/>
  <c r="G23" i="4"/>
  <c r="J29" i="4"/>
  <c r="J12" i="4"/>
  <c r="J32" i="4"/>
  <c r="J38" i="4"/>
  <c r="I23" i="4"/>
  <c r="H23" i="4"/>
  <c r="J8" i="4"/>
  <c r="G44" i="4"/>
  <c r="J11" i="4"/>
  <c r="E23" i="4"/>
  <c r="H44" i="4"/>
  <c r="E44" i="4"/>
  <c r="J17" i="4"/>
  <c r="D20" i="2" l="1"/>
  <c r="D32" i="2"/>
  <c r="F20" i="2"/>
  <c r="F32" i="2"/>
  <c r="G20" i="2"/>
  <c r="G32" i="2"/>
  <c r="H20" i="2"/>
  <c r="H32" i="2"/>
  <c r="J44" i="4"/>
  <c r="J23" i="4"/>
  <c r="L17" i="4" l="1"/>
  <c r="L23" i="4" s="1"/>
  <c r="J20" i="2" l="1"/>
  <c r="J32" i="2"/>
  <c r="L32" i="2" s="1"/>
  <c r="L38" i="4"/>
  <c r="L44" i="4" s="1"/>
  <c r="E15" i="4" l="1"/>
  <c r="F15" i="4"/>
  <c r="F21" i="4" s="1"/>
  <c r="E14" i="4"/>
  <c r="E16" i="4"/>
  <c r="F16" i="4"/>
  <c r="F22" i="4" s="1"/>
  <c r="E19" i="2" l="1"/>
  <c r="E31" i="2"/>
  <c r="E18" i="2"/>
  <c r="E30" i="2"/>
  <c r="E22" i="4"/>
  <c r="E20" i="4"/>
  <c r="E21" i="4"/>
  <c r="G22" i="4"/>
  <c r="G14" i="4"/>
  <c r="G15" i="4"/>
  <c r="G21" i="4" s="1"/>
  <c r="F37" i="4"/>
  <c r="F43" i="4" s="1"/>
  <c r="F14" i="4"/>
  <c r="E37" i="4"/>
  <c r="F36" i="4"/>
  <c r="F42" i="4" s="1"/>
  <c r="E35" i="4"/>
  <c r="E36" i="4"/>
  <c r="F19" i="2" l="1"/>
  <c r="F31" i="2"/>
  <c r="D19" i="2"/>
  <c r="D31" i="2"/>
  <c r="D17" i="2"/>
  <c r="D29" i="2"/>
  <c r="F18" i="2"/>
  <c r="F30" i="2"/>
  <c r="D18" i="2"/>
  <c r="D30" i="2"/>
  <c r="E42" i="4"/>
  <c r="F20" i="4"/>
  <c r="E41" i="4"/>
  <c r="E43" i="4"/>
  <c r="G20" i="4"/>
  <c r="G36" i="4"/>
  <c r="G42" i="4" s="1"/>
  <c r="H14" i="4"/>
  <c r="H15" i="4"/>
  <c r="H21" i="4" s="1"/>
  <c r="G37" i="4"/>
  <c r="G43" i="4" s="1"/>
  <c r="H16" i="4"/>
  <c r="H22" i="4" s="1"/>
  <c r="F35" i="4"/>
  <c r="G35" i="4"/>
  <c r="F17" i="2" l="1"/>
  <c r="F29" i="2"/>
  <c r="G19" i="2"/>
  <c r="G31" i="2"/>
  <c r="E17" i="2"/>
  <c r="E29" i="2"/>
  <c r="G18" i="2"/>
  <c r="G30" i="2"/>
  <c r="H20" i="4"/>
  <c r="F41" i="4"/>
  <c r="G41" i="4"/>
  <c r="H37" i="4"/>
  <c r="I15" i="4"/>
  <c r="E18" i="4"/>
  <c r="H35" i="4"/>
  <c r="H36" i="4"/>
  <c r="H42" i="4" s="1"/>
  <c r="G17" i="2" l="1"/>
  <c r="G29" i="2"/>
  <c r="H41" i="4"/>
  <c r="H43" i="4"/>
  <c r="E24" i="4"/>
  <c r="E19" i="4"/>
  <c r="J15" i="4"/>
  <c r="J21" i="4" s="1"/>
  <c r="E39" i="4"/>
  <c r="I36" i="4"/>
  <c r="I42" i="4" s="1"/>
  <c r="I14" i="4"/>
  <c r="D21" i="2" l="1"/>
  <c r="D22" i="2" s="1"/>
  <c r="D33" i="2"/>
  <c r="D34" i="2" s="1"/>
  <c r="H18" i="2"/>
  <c r="H30" i="2"/>
  <c r="J36" i="4"/>
  <c r="J42" i="4" s="1"/>
  <c r="I20" i="4"/>
  <c r="J14" i="4"/>
  <c r="J20" i="4" s="1"/>
  <c r="E25" i="4"/>
  <c r="E45" i="4"/>
  <c r="E40" i="4"/>
  <c r="I35" i="4"/>
  <c r="H17" i="2" l="1"/>
  <c r="H29" i="2"/>
  <c r="I41" i="4"/>
  <c r="J35" i="4"/>
  <c r="J41" i="4" s="1"/>
  <c r="E46" i="4"/>
  <c r="F18" i="4" l="1"/>
  <c r="F24" i="4" l="1"/>
  <c r="F19" i="4"/>
  <c r="F39" i="4"/>
  <c r="E21" i="2" l="1"/>
  <c r="E22" i="2" s="1"/>
  <c r="E33" i="2"/>
  <c r="E34" i="2" s="1"/>
  <c r="F45" i="4"/>
  <c r="F40" i="4"/>
  <c r="F25" i="4"/>
  <c r="F46" i="4" l="1"/>
  <c r="G18" i="4" l="1"/>
  <c r="G24" i="4" l="1"/>
  <c r="G19" i="4"/>
  <c r="G39" i="4"/>
  <c r="F21" i="2" l="1"/>
  <c r="F22" i="2" s="1"/>
  <c r="F33" i="2"/>
  <c r="F34" i="2" s="1"/>
  <c r="G45" i="4"/>
  <c r="G40" i="4"/>
  <c r="G25" i="4"/>
  <c r="G46" i="4" l="1"/>
  <c r="H18" i="4" l="1"/>
  <c r="H24" i="4" l="1"/>
  <c r="H19" i="4"/>
  <c r="H39" i="4"/>
  <c r="G21" i="2" l="1"/>
  <c r="G22" i="2" s="1"/>
  <c r="G33" i="2"/>
  <c r="G34" i="2" s="1"/>
  <c r="H45" i="4"/>
  <c r="H40" i="4"/>
  <c r="H25" i="4"/>
  <c r="H46" i="4" l="1"/>
  <c r="I16" i="4" l="1"/>
  <c r="I37" i="4"/>
  <c r="I22" i="4" l="1"/>
  <c r="J16" i="4"/>
  <c r="J22" i="4" s="1"/>
  <c r="I43" i="4"/>
  <c r="J37" i="4"/>
  <c r="J43" i="4" s="1"/>
  <c r="H19" i="2" l="1"/>
  <c r="H31" i="2"/>
  <c r="I18" i="4"/>
  <c r="I39" i="4"/>
  <c r="I45" i="4" l="1"/>
  <c r="J39" i="4"/>
  <c r="J45" i="4" s="1"/>
  <c r="I40" i="4"/>
  <c r="I24" i="4"/>
  <c r="J18" i="4"/>
  <c r="J24" i="4" s="1"/>
  <c r="I19" i="4"/>
  <c r="H21" i="2" l="1"/>
  <c r="H22" i="2" s="1"/>
  <c r="H33" i="2"/>
  <c r="H34" i="2" s="1"/>
  <c r="I46" i="4"/>
  <c r="J40" i="4"/>
  <c r="J46" i="4" s="1"/>
  <c r="I25" i="4"/>
  <c r="J19" i="4"/>
  <c r="J25" i="4" s="1"/>
  <c r="L16" i="4" l="1"/>
  <c r="L22" i="4" s="1"/>
  <c r="L37" i="4"/>
  <c r="L43" i="4" s="1"/>
  <c r="J19" i="2" l="1"/>
  <c r="J31" i="2"/>
  <c r="L31" i="2" s="1"/>
  <c r="K47" i="2" l="1"/>
  <c r="L47" i="2" s="1"/>
  <c r="N51" i="2"/>
  <c r="Q51" i="2"/>
  <c r="O51" i="2"/>
  <c r="P51" i="2"/>
  <c r="M51" i="2"/>
  <c r="L51" i="2"/>
  <c r="L14" i="4"/>
  <c r="L35" i="4" l="1"/>
  <c r="L20" i="4"/>
  <c r="L41" i="4" l="1"/>
  <c r="J17" i="2"/>
  <c r="J29" i="2"/>
  <c r="L29" i="2" l="1"/>
  <c r="L15" i="4" l="1"/>
  <c r="L21" i="4" l="1"/>
  <c r="L36" i="4"/>
  <c r="L18" i="4"/>
  <c r="L24" i="4" s="1"/>
  <c r="L19" i="4" l="1"/>
  <c r="L25" i="4" s="1"/>
  <c r="J18" i="2"/>
  <c r="J30" i="2"/>
  <c r="J21" i="2"/>
  <c r="J33" i="2"/>
  <c r="L33" i="2" s="1"/>
  <c r="L42" i="4"/>
  <c r="L39" i="4"/>
  <c r="L45" i="4" s="1"/>
  <c r="J22" i="2" l="1"/>
  <c r="L30" i="2"/>
  <c r="L34" i="2" s="1"/>
  <c r="L44" i="2" s="1"/>
  <c r="J34" i="2"/>
  <c r="L40" i="4"/>
  <c r="L46" i="4" s="1"/>
  <c r="L43" i="2" l="1"/>
  <c r="L42" i="2"/>
</calcChain>
</file>

<file path=xl/sharedStrings.xml><?xml version="1.0" encoding="utf-8"?>
<sst xmlns="http://schemas.openxmlformats.org/spreadsheetml/2006/main" count="108" uniqueCount="50">
  <si>
    <t>All in ($m Nominal)</t>
  </si>
  <si>
    <t>Assumptions</t>
  </si>
  <si>
    <t>2021 Stub</t>
  </si>
  <si>
    <t>Capex (Distribution system assets)</t>
  </si>
  <si>
    <t>Opex</t>
  </si>
  <si>
    <t>Bushfire Pass Through Additional Revenue</t>
  </si>
  <si>
    <t>Return on Capital</t>
  </si>
  <si>
    <t>Return of Capital (regulatory depreciation)</t>
  </si>
  <si>
    <t>Operating Expenditure</t>
  </si>
  <si>
    <t>Revenue Adjustments</t>
  </si>
  <si>
    <t>Net Tax Allowance</t>
  </si>
  <si>
    <t>Annual Building Block Revenue</t>
  </si>
  <si>
    <t>Bushfire Pass Through Additional Revenue (June $2021)</t>
  </si>
  <si>
    <t>Residential customers %</t>
  </si>
  <si>
    <t>Non residential customers %</t>
  </si>
  <si>
    <t>Residential customers</t>
  </si>
  <si>
    <t>Non residential customers</t>
  </si>
  <si>
    <t>Cost per residential customer</t>
  </si>
  <si>
    <t>Cost per non residential customer</t>
  </si>
  <si>
    <t>Cost per total customer</t>
  </si>
  <si>
    <t>Price Path</t>
  </si>
  <si>
    <t>$Real per customer</t>
  </si>
  <si>
    <t>Bushfire Pass Through</t>
  </si>
  <si>
    <t>Total</t>
  </si>
  <si>
    <t>Annual Building Block Revenue Requirement (unsmoothed) ($m Nominal)</t>
  </si>
  <si>
    <t>Base Case</t>
  </si>
  <si>
    <t>='Pass Through\[AusNet Distribution PTRM 2020 debt update (inc REFCL T3) - Bushfire PT.XLSM]Revenue summary'!I9</t>
  </si>
  <si>
    <t>Change</t>
  </si>
  <si>
    <t>Annual Building Block Revenue Requirement (unsmoothed) ($m Real 2015)</t>
  </si>
  <si>
    <t>$Real 2020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</si>
  <si>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</si>
  <si>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</si>
  <si>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</si>
  <si>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</si>
  <si>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</si>
  <si>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</si>
  <si>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</si>
  <si>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End 2020</t>
  </si>
  <si>
    <t>CPI - 8 cities - Jun Qtr, 1yr lagged</t>
  </si>
  <si>
    <t>CPI movement - 8 Capital Cities</t>
  </si>
  <si>
    <t>$2015 to Nominal</t>
  </si>
  <si>
    <t>$2018 to Nominal</t>
  </si>
  <si>
    <t>$2020 to Nominal</t>
  </si>
  <si>
    <t>End $2020 to Nominal</t>
  </si>
  <si>
    <t>Index - Nominal to $2020</t>
  </si>
  <si>
    <t>Index - Nominal to End $2020</t>
  </si>
  <si>
    <t>Index - Nominal to $2021</t>
  </si>
  <si>
    <t>Index - Nominal to $2015</t>
  </si>
  <si>
    <t>source: actual CPI to Jun-19 Qtr, forecast CPI for 6 months to June 2021 (6 month Proposal PTRM) and forecast CPI for FY22-26 (Proposal PTRM model - 2022-26)</t>
  </si>
  <si>
    <t>End $2015 to Mid Year $2018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</si>
</sst>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#,##0.00_);\(#,##0.00\);_(&quot;-&quot;_);_)@_)"/>
    <numFmt numFmtId="165" formatCode="_(###0_);\(###0\);_(&quot;-&quot;_);_)@_)"/>
    <numFmt numFmtId="166" formatCode="_)d\-mmm\-yy_);_)d\-mmm\-yy_);_)&quot;-&quot;_);_)@_)"/>
    <numFmt numFmtId="167" formatCode="_(#,##0.0_);\(#,##0.0\);_(&quot;-&quot;_);_)@_)"/>
    <numFmt numFmtId="168" formatCode="_(#,##0.0%_);\(#,##0.0%\);_(&quot;-&quot;_);_)@_)"/>
    <numFmt numFmtId="169" formatCode="_(#,##0.0\x_);\(#,##0.0\x\);_(&quot;-&quot;_);_)@_)"/>
    <numFmt numFmtId="170" formatCode="_(&quot;$&quot;#,##0.0_);\(&quot;$&quot;#,##0.0\);_(&quot;-&quot;_);_)@_)"/>
    <numFmt numFmtId="171" formatCode="0.0"/>
    <numFmt numFmtId="172" formatCode="0.000"/>
    <numFmt numFmtId="173" formatCode="0.0000"/>
    <numFmt numFmtId="174" formatCode="_(#,##0_);\(#,##0\);_(&quot;-&quot;_);_)@_)"/>
    <numFmt numFmtId="175" formatCode="_(&quot;$&quot;#,##0.00_);\(&quot;$&quot;#,##0.00\);_(&quot;-&quot;_);_)@_)"/>
  </numFmts>
  <fonts count="29">
    <font>
      <sz val="9"/>
      <color theme="1" tint="0.2499465926084170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 tint="0.24994659260841701"/>
      <name val="Arial"/>
      <family val="2"/>
      <scheme val="major"/>
    </font>
    <font>
      <b/>
      <sz val="10"/>
      <color theme="1" tint="0.24994659260841701"/>
      <name val="Arial"/>
      <family val="2"/>
      <scheme val="major"/>
    </font>
    <font>
      <sz val="9"/>
      <color theme="0"/>
      <name val="Arial"/>
      <family val="2"/>
      <scheme val="major"/>
    </font>
    <font>
      <b/>
      <sz val="9"/>
      <color theme="4" tint="-0.49995422223578601"/>
      <name val="Arial"/>
      <family val="2"/>
      <scheme val="major"/>
    </font>
    <font>
      <b/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inor"/>
    </font>
    <font>
      <sz val="9"/>
      <color theme="0"/>
      <name val="Arial"/>
      <family val="2"/>
      <scheme val="minor"/>
    </font>
    <font>
      <b/>
      <sz val="9"/>
      <color theme="1" tint="0.24994659260841701"/>
      <name val="Arial"/>
      <family val="2"/>
      <scheme val="minor"/>
    </font>
    <font>
      <u/>
      <sz val="9"/>
      <color theme="11"/>
      <name val="Arial"/>
      <family val="2"/>
      <scheme val="minor"/>
    </font>
    <font>
      <sz val="9"/>
      <color theme="11"/>
      <name val="Wingdings"/>
      <charset val="2"/>
    </font>
    <font>
      <b/>
      <u/>
      <sz val="9"/>
      <color theme="11"/>
      <name val="Arial"/>
      <family val="2"/>
      <scheme val="minor"/>
    </font>
    <font>
      <sz val="9"/>
      <color theme="1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b/>
      <sz val="10"/>
      <color theme="1" tint="0.24994659260841701"/>
      <name val="Arial"/>
      <family val="2"/>
      <scheme val="minor"/>
    </font>
    <font>
      <u/>
      <sz val="9"/>
      <color theme="10"/>
      <name val="Arial"/>
      <family val="2"/>
      <scheme val="minor"/>
    </font>
    <font>
      <b/>
      <sz val="16"/>
      <color rgb="FF002060"/>
      <name val="Arial"/>
      <family val="2"/>
      <scheme val="minor"/>
    </font>
    <font>
      <u/>
      <sz val="10"/>
      <color theme="10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9"/>
      <color theme="3"/>
      <name val="Arial"/>
      <family val="2"/>
      <scheme val="minor"/>
    </font>
    <font>
      <sz val="10"/>
      <color rgb="FF000000"/>
      <name val="Arial Narrow"/>
      <family val="2"/>
    </font>
    <font>
      <sz val="9"/>
      <color rgb="FF002060"/>
      <name val="Century Gothic"/>
      <family val="2"/>
    </font>
    <font>
      <sz val="9"/>
      <color theme="9" tint="-0.4999542222357860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4999542222357860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5" fillId="0" borderId="0" applyFill="0" applyBorder="0">
      <alignment vertical="center"/>
    </xf>
    <xf numFmtId="0" fontId="6" fillId="2" borderId="0" applyBorder="0">
      <alignment vertical="center"/>
    </xf>
    <xf numFmtId="0" fontId="7" fillId="3" borderId="5">
      <alignment vertical="center"/>
    </xf>
    <xf numFmtId="0" fontId="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  <protection locked="0"/>
    </xf>
    <xf numFmtId="0" fontId="10" fillId="4" borderId="6">
      <alignment vertical="center"/>
      <protection locked="0"/>
    </xf>
    <xf numFmtId="165" fontId="10" fillId="4" borderId="6">
      <alignment vertical="center"/>
      <protection locked="0"/>
    </xf>
    <xf numFmtId="166" fontId="10" fillId="4" borderId="6">
      <alignment vertical="center"/>
      <protection locked="0"/>
    </xf>
    <xf numFmtId="167" fontId="10" fillId="4" borderId="6">
      <alignment vertical="center"/>
      <protection locked="0"/>
    </xf>
    <xf numFmtId="168" fontId="10" fillId="4" borderId="6">
      <alignment vertical="center"/>
      <protection locked="0"/>
    </xf>
    <xf numFmtId="169" fontId="10" fillId="4" borderId="6">
      <alignment vertical="center"/>
      <protection locked="0"/>
    </xf>
    <xf numFmtId="170" fontId="10" fillId="4" borderId="6">
      <alignment vertical="center"/>
      <protection locked="0"/>
    </xf>
    <xf numFmtId="0" fontId="3" fillId="0" borderId="0" applyNumberFormat="0" applyFont="0" applyFill="0" applyBorder="0">
      <alignment horizontal="center" vertical="center"/>
      <protection locked="0"/>
    </xf>
    <xf numFmtId="165" fontId="10" fillId="0" borderId="0" applyFill="0" applyBorder="0">
      <alignment vertical="center"/>
    </xf>
    <xf numFmtId="166" fontId="10" fillId="0" borderId="0" applyFill="0" applyBorder="0">
      <alignment vertical="center"/>
    </xf>
    <xf numFmtId="167" fontId="10" fillId="0" borderId="0" applyFill="0" applyBorder="0">
      <alignment vertical="center"/>
    </xf>
    <xf numFmtId="168" fontId="10" fillId="0" borderId="0" applyFill="0" applyBorder="0">
      <alignment vertical="center"/>
    </xf>
    <xf numFmtId="169" fontId="10" fillId="0" borderId="0" applyFill="0" applyBorder="0">
      <alignment vertical="center"/>
    </xf>
    <xf numFmtId="170" fontId="10" fillId="0" borderId="0" applyFill="0" applyBorder="0">
      <alignment vertical="center"/>
    </xf>
    <xf numFmtId="0" fontId="11" fillId="5" borderId="0" applyBorder="0">
      <alignment vertical="center"/>
    </xf>
    <xf numFmtId="0" fontId="12" fillId="0" borderId="7" applyFill="0">
      <alignment horizontal="center" vertical="center"/>
    </xf>
    <xf numFmtId="167" fontId="10" fillId="0" borderId="7" applyFill="0">
      <alignment horizontal="center" vertical="center"/>
    </xf>
    <xf numFmtId="0" fontId="10" fillId="0" borderId="7" applyFill="0">
      <alignment horizontal="center" vertical="center"/>
    </xf>
    <xf numFmtId="0" fontId="13" fillId="0" borderId="0" applyFill="0" applyBorder="0">
      <alignment vertical="center"/>
    </xf>
    <xf numFmtId="0" fontId="14" fillId="0" borderId="0" applyFill="0" applyBorder="0">
      <alignment horizontal="center" vertical="center"/>
    </xf>
    <xf numFmtId="0" fontId="14" fillId="0" borderId="0" applyFill="0" applyBorder="0">
      <alignment horizontal="center" vertical="center"/>
    </xf>
    <xf numFmtId="0" fontId="15" fillId="0" borderId="0" applyFill="0" applyBorder="0">
      <alignment vertical="center"/>
    </xf>
    <xf numFmtId="0" fontId="13" fillId="0" borderId="0" applyFill="0" applyBorder="0">
      <alignment vertical="center"/>
    </xf>
    <xf numFmtId="0" fontId="16" fillId="0" borderId="0" applyFill="0" applyBorder="0">
      <alignment vertical="center"/>
    </xf>
    <xf numFmtId="0" fontId="16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5" fillId="0" borderId="0" applyFill="0" applyBorder="0">
      <alignment vertical="center"/>
    </xf>
    <xf numFmtId="0" fontId="6" fillId="2" borderId="0" applyBorder="0">
      <alignment vertical="center"/>
    </xf>
    <xf numFmtId="0" fontId="7" fillId="3" borderId="5">
      <alignment vertical="center"/>
    </xf>
    <xf numFmtId="0" fontId="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  <protection locked="0"/>
    </xf>
    <xf numFmtId="167" fontId="10" fillId="0" borderId="0" applyFill="0" applyBorder="0">
      <alignment vertical="center"/>
    </xf>
    <xf numFmtId="168" fontId="10" fillId="0" borderId="0" applyFill="0" applyBorder="0">
      <alignment vertical="center"/>
    </xf>
    <xf numFmtId="169" fontId="10" fillId="0" borderId="0" applyFill="0" applyBorder="0">
      <alignment vertical="center"/>
    </xf>
    <xf numFmtId="170" fontId="10" fillId="0" borderId="0" applyFill="0" applyBorder="0">
      <alignment vertical="center"/>
    </xf>
    <xf numFmtId="165" fontId="10" fillId="0" borderId="0" applyFill="0" applyBorder="0">
      <alignment vertical="center"/>
    </xf>
    <xf numFmtId="166" fontId="10" fillId="0" borderId="0" applyFill="0" applyBorder="0">
      <alignment vertical="center"/>
    </xf>
    <xf numFmtId="0" fontId="11" fillId="5" borderId="0" applyBorder="0">
      <alignment vertical="center"/>
    </xf>
    <xf numFmtId="0" fontId="13" fillId="0" borderId="0" applyFill="0" applyBorder="0">
      <alignment vertical="center"/>
    </xf>
    <xf numFmtId="0" fontId="14" fillId="0" borderId="0" applyFill="0" applyBorder="0">
      <alignment horizontal="center" vertical="center"/>
    </xf>
    <xf numFmtId="0" fontId="14" fillId="0" borderId="0" applyFill="0" applyBorder="0">
      <alignment horizontal="center" vertical="center"/>
    </xf>
    <xf numFmtId="0" fontId="15" fillId="0" borderId="0" applyFill="0" applyBorder="0">
      <alignment vertical="center"/>
    </xf>
    <xf numFmtId="0" fontId="13" fillId="0" borderId="0" applyFill="0" applyBorder="0">
      <alignment vertical="center"/>
    </xf>
    <xf numFmtId="0" fontId="16" fillId="0" borderId="0" applyFill="0" applyBorder="0">
      <alignment vertical="center"/>
    </xf>
    <xf numFmtId="0" fontId="16" fillId="0" borderId="0" applyFill="0" applyBorder="0">
      <alignment vertical="center"/>
    </xf>
    <xf numFmtId="0" fontId="10" fillId="0" borderId="0" applyFill="0" applyBorder="0">
      <alignment vertical="center"/>
    </xf>
    <xf numFmtId="9" fontId="1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164" fontId="0" fillId="0" borderId="0" xfId="0" applyNumberFormat="1">
      <alignment vertical="center"/>
    </xf>
    <xf numFmtId="164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>
      <alignment vertical="center"/>
    </xf>
    <xf numFmtId="164" fontId="0" fillId="0" borderId="2" xfId="0" applyNumberFormat="1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0" borderId="0" xfId="0" applyFont="1">
      <alignment vertical="center"/>
    </xf>
    <xf numFmtId="0" fontId="0" fillId="0" borderId="0" xfId="0" applyFont="1" applyAlignment="1">
      <alignment horizontal="left" indent="1"/>
    </xf>
    <xf numFmtId="0" fontId="0" fillId="0" borderId="0" xfId="0" applyFont="1">
      <alignment vertical="center"/>
    </xf>
    <xf numFmtId="164" fontId="0" fillId="0" borderId="0" xfId="0" applyNumberFormat="1" applyFont="1">
      <alignment vertical="center"/>
    </xf>
    <xf numFmtId="164" fontId="17" fillId="0" borderId="0" xfId="0" applyNumberFormat="1" applyFont="1">
      <alignment vertical="center"/>
    </xf>
    <xf numFmtId="0" fontId="0" fillId="0" borderId="2" xfId="0" applyFont="1" applyBorder="1" applyAlignment="1">
      <alignment horizontal="left" indent="1"/>
    </xf>
    <xf numFmtId="0" fontId="0" fillId="0" borderId="2" xfId="0" applyFont="1" applyBorder="1">
      <alignment vertical="center"/>
    </xf>
    <xf numFmtId="164" fontId="0" fillId="0" borderId="2" xfId="0" applyNumberFormat="1" applyFont="1" applyBorder="1">
      <alignment vertical="center"/>
    </xf>
    <xf numFmtId="164" fontId="17" fillId="0" borderId="2" xfId="0" applyNumberFormat="1" applyFont="1" applyBorder="1">
      <alignment vertical="center"/>
    </xf>
    <xf numFmtId="164" fontId="17" fillId="0" borderId="3" xfId="0" applyNumberFormat="1" applyFont="1" applyBorder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>
      <alignment vertical="center"/>
    </xf>
    <xf numFmtId="10" fontId="0" fillId="0" borderId="0" xfId="57" applyNumberFormat="1" applyFont="1"/>
    <xf numFmtId="0" fontId="17" fillId="0" borderId="1" xfId="0" applyFont="1" applyBorder="1">
      <alignment vertical="center"/>
    </xf>
    <xf numFmtId="0" fontId="12" fillId="0" borderId="0" xfId="0" applyFont="1">
      <alignment vertical="center"/>
    </xf>
    <xf numFmtId="164" fontId="0" fillId="0" borderId="0" xfId="19" applyNumberFormat="1" applyFont="1">
      <alignment vertical="center"/>
    </xf>
    <xf numFmtId="164" fontId="12" fillId="0" borderId="1" xfId="19" applyNumberFormat="1" applyFont="1" applyBorder="1">
      <alignment vertical="center"/>
    </xf>
    <xf numFmtId="0" fontId="0" fillId="0" borderId="3" xfId="0" applyBorder="1">
      <alignment vertical="center"/>
    </xf>
    <xf numFmtId="164" fontId="0" fillId="0" borderId="3" xfId="0" applyNumberFormat="1" applyBorder="1">
      <alignment vertical="center"/>
    </xf>
    <xf numFmtId="0" fontId="0" fillId="0" borderId="0" xfId="0" applyBorder="1">
      <alignment vertical="center"/>
    </xf>
    <xf numFmtId="164" fontId="0" fillId="0" borderId="0" xfId="0" applyNumberFormat="1" applyBorder="1">
      <alignment vertical="center"/>
    </xf>
    <xf numFmtId="164" fontId="12" fillId="0" borderId="0" xfId="0" applyNumberFormat="1" applyFont="1">
      <alignment vertical="center"/>
    </xf>
    <xf numFmtId="164" fontId="0" fillId="0" borderId="4" xfId="0" applyNumberFormat="1" applyBorder="1">
      <alignment vertical="center"/>
    </xf>
    <xf numFmtId="0" fontId="0" fillId="0" borderId="0" xfId="0" applyAlignment="1">
      <alignment horizontal="left" vertical="center" indent="1"/>
    </xf>
    <xf numFmtId="0" fontId="20" fillId="0" borderId="0" xfId="0" applyFont="1">
      <alignment vertical="center"/>
    </xf>
    <xf numFmtId="164" fontId="12" fillId="0" borderId="0" xfId="0" applyNumberFormat="1" applyFont="1" applyBorder="1">
      <alignment vertical="center"/>
    </xf>
    <xf numFmtId="164" fontId="12" fillId="0" borderId="3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6" borderId="0" xfId="0" applyFont="1" applyFill="1" applyAlignment="1"/>
    <xf numFmtId="0" fontId="0" fillId="6" borderId="0" xfId="0" applyFill="1" applyAlignment="1"/>
    <xf numFmtId="0" fontId="23" fillId="6" borderId="0" xfId="58" applyFont="1" applyFill="1" applyAlignment="1"/>
    <xf numFmtId="0" fontId="1" fillId="6" borderId="0" xfId="0" applyFont="1" applyFill="1" applyAlignment="1"/>
    <xf numFmtId="17" fontId="0" fillId="6" borderId="0" xfId="0" applyNumberFormat="1" applyFill="1" applyAlignment="1">
      <alignment horizontal="center"/>
    </xf>
    <xf numFmtId="0" fontId="0" fillId="6" borderId="7" xfId="0" applyFill="1" applyBorder="1" applyAlignment="1"/>
    <xf numFmtId="17" fontId="0" fillId="6" borderId="7" xfId="0" applyNumberFormat="1" applyFill="1" applyBorder="1" applyAlignment="1">
      <alignment horizontal="center"/>
    </xf>
    <xf numFmtId="17" fontId="0" fillId="7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71" fontId="0" fillId="8" borderId="7" xfId="0" applyNumberFormat="1" applyFill="1" applyBorder="1" applyAlignment="1"/>
    <xf numFmtId="171" fontId="0" fillId="9" borderId="7" xfId="0" applyNumberFormat="1" applyFill="1" applyBorder="1" applyAlignment="1"/>
    <xf numFmtId="171" fontId="0" fillId="0" borderId="7" xfId="0" applyNumberFormat="1" applyBorder="1" applyAlignment="1"/>
    <xf numFmtId="171" fontId="0" fillId="6" borderId="7" xfId="0" applyNumberFormat="1" applyFill="1" applyBorder="1" applyAlignment="1"/>
    <xf numFmtId="10" fontId="0" fillId="6" borderId="7" xfId="57" applyNumberFormat="1" applyFont="1" applyFill="1" applyBorder="1"/>
    <xf numFmtId="10" fontId="0" fillId="0" borderId="7" xfId="57" applyNumberFormat="1" applyFont="1" applyFill="1" applyBorder="1"/>
    <xf numFmtId="10" fontId="0" fillId="10" borderId="7" xfId="57" applyNumberFormat="1" applyFont="1" applyFill="1" applyBorder="1"/>
    <xf numFmtId="10" fontId="0" fillId="11" borderId="7" xfId="57" applyNumberFormat="1" applyFont="1" applyFill="1" applyBorder="1"/>
    <xf numFmtId="172" fontId="0" fillId="6" borderId="7" xfId="0" applyNumberFormat="1" applyFill="1" applyBorder="1" applyAlignment="1"/>
    <xf numFmtId="172" fontId="0" fillId="0" borderId="7" xfId="0" applyNumberFormat="1" applyBorder="1" applyAlignment="1"/>
    <xf numFmtId="173" fontId="0" fillId="6" borderId="7" xfId="0" applyNumberFormat="1" applyFill="1" applyBorder="1" applyAlignment="1"/>
    <xf numFmtId="0" fontId="24" fillId="6" borderId="0" xfId="0" applyFont="1" applyFill="1" applyAlignment="1"/>
    <xf numFmtId="173" fontId="0" fillId="6" borderId="0" xfId="0" applyNumberFormat="1" applyFill="1" applyAlignment="1"/>
    <xf numFmtId="172" fontId="0" fillId="6" borderId="0" xfId="0" applyNumberFormat="1" applyFill="1" applyAlignment="1"/>
    <xf numFmtId="0" fontId="25" fillId="6" borderId="7" xfId="0" applyFont="1" applyFill="1" applyBorder="1" applyAlignment="1">
      <alignment horizontal="center"/>
    </xf>
    <xf numFmtId="0" fontId="26" fillId="12" borderId="0" xfId="0" applyFont="1" applyFill="1" applyAlignment="1">
      <alignment horizontal="right" vertical="center"/>
    </xf>
    <xf numFmtId="0" fontId="2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9" fontId="0" fillId="0" borderId="0" xfId="0" applyNumberFormat="1">
      <alignment vertical="center"/>
    </xf>
    <xf numFmtId="175" fontId="28" fillId="0" borderId="0" xfId="22" applyNumberFormat="1" applyFont="1">
      <alignment vertical="center"/>
    </xf>
  </cellXfs>
  <cellStyles count="59">
    <cellStyle name="Assumption Currency." xfId="15" xr:uid="{5B5078C8-B88D-44BC-8CF4-8D6633887DDA}"/>
    <cellStyle name="Assumption Date." xfId="11" xr:uid="{F9A4F356-9A8A-4BE3-B5CE-5C9B57E4AC67}"/>
    <cellStyle name="Assumption Heading." xfId="9" xr:uid="{74E5909A-3C33-46C5-870E-E4AB28DFD8B5}"/>
    <cellStyle name="Assumption Multiple." xfId="14" xr:uid="{FBE554B1-69A5-4B1B-A03F-4270BF39BDE6}"/>
    <cellStyle name="Assumption Number." xfId="12" xr:uid="{6227A5E1-BAA8-4888-9101-A59C21936A3E}"/>
    <cellStyle name="Assumption Percentage." xfId="13" xr:uid="{F829D5F8-461C-447B-A941-5EE64D80C17F}"/>
    <cellStyle name="Assumption Year." xfId="10" xr:uid="{3E726EF4-8EBB-42D7-8156-97B657DC2BE4}"/>
    <cellStyle name="Cell Link." xfId="16" xr:uid="{547B0CC1-E45F-41FE-8B4F-3E2668F87577}"/>
    <cellStyle name="Currency." xfId="22" xr:uid="{D8581204-0790-4D1D-A03E-14F02EE145D4}"/>
    <cellStyle name="Date." xfId="18" xr:uid="{C69C28ED-5D81-4B62-B8DE-4982BF41F35F}"/>
    <cellStyle name="Heading 1." xfId="4" xr:uid="{B05B7531-70BE-4C51-9E79-5F10A86CB7D2}"/>
    <cellStyle name="Heading 2." xfId="5" xr:uid="{E8374046-C61D-4E0D-BC07-12A0CDD0B525}"/>
    <cellStyle name="Heading 3." xfId="6" xr:uid="{1C40315A-3413-4052-8444-A205560C71FB}"/>
    <cellStyle name="Heading 4." xfId="7" xr:uid="{BCF80989-D8FE-428B-974D-31059B63D6FA}"/>
    <cellStyle name="Hyperlink" xfId="58" builtinId="8"/>
    <cellStyle name="Hyperlink Arrow." xfId="28" xr:uid="{D0F1545A-CAF8-41A8-B8B0-E132CB775E79}"/>
    <cellStyle name="Hyperlink Check." xfId="29" xr:uid="{6E525D92-19EC-435E-891D-F52354E58B90}"/>
    <cellStyle name="Hyperlink Text." xfId="27" xr:uid="{B9D12D9E-A969-4756-860D-963CA2D44B56}"/>
    <cellStyle name="Hyperlink TOC 1." xfId="30" xr:uid="{B7511E41-FBAF-4D94-B241-BC743B30C1A2}"/>
    <cellStyle name="Hyperlink TOC 2." xfId="31" xr:uid="{9F2416CC-CBEF-4000-B4EE-0660658FF2CC}"/>
    <cellStyle name="Hyperlink TOC 3." xfId="32" xr:uid="{FEA836C3-5A3D-4E1A-8150-70B009D5CB6D}"/>
    <cellStyle name="Hyperlink TOC 4." xfId="33" xr:uid="{05D283A6-F688-48DC-AADA-9563AC79A07B}"/>
    <cellStyle name="Lookup Table Heading." xfId="24" xr:uid="{03339BAD-A3DC-4773-B564-BAC40FB0D50D}"/>
    <cellStyle name="Lookup Table Label." xfId="26" xr:uid="{F00B4598-8404-43A4-8E49-6F6E1CE08EE5}"/>
    <cellStyle name="Lookup Table Number." xfId="25" xr:uid="{6BE00C04-E1EE-43A1-A1F6-78352BC57892}"/>
    <cellStyle name="Model Name." xfId="3" xr:uid="{F931DFB5-C7AD-4034-BDFC-635842D2054E}"/>
    <cellStyle name="Multiple." xfId="21" xr:uid="{72D36EE8-B192-441E-9062-A8E900D6E3B5}"/>
    <cellStyle name="Normal" xfId="0" builtinId="0" customBuiltin="1"/>
    <cellStyle name="Number." xfId="19" xr:uid="{03336971-F267-4D94-839A-C783EFFBA58D}"/>
    <cellStyle name="Percent" xfId="57" builtinId="5"/>
    <cellStyle name="Percentage." xfId="20" xr:uid="{D07CA6CB-E9A9-4D8C-9CCF-E2449E34614F}"/>
    <cellStyle name="Period Title." xfId="23" xr:uid="{5A77C2F0-CD21-4203-A1C4-1CD31FE164A2}"/>
    <cellStyle name="Presentation Currency." xfId="45" xr:uid="{8E049C55-4F4E-48D6-8603-E93BAE8B2C82}"/>
    <cellStyle name="Presentation Date." xfId="47" xr:uid="{75596E21-9A7E-4DAE-A90E-22FCA5CCEDCB}"/>
    <cellStyle name="Presentation Heading 1." xfId="37" xr:uid="{4FFCED56-4B4B-4A25-9BB9-400C73077361}"/>
    <cellStyle name="Presentation Heading 2." xfId="38" xr:uid="{1282845F-10FA-4E8A-9662-4FF539D41CDC}"/>
    <cellStyle name="Presentation Heading 3." xfId="39" xr:uid="{3E366D2F-D1B2-4B22-97DE-DC82F35E6BFA}"/>
    <cellStyle name="Presentation Heading 4." xfId="40" xr:uid="{BED19973-AB01-41B6-BAA2-6A777F60971A}"/>
    <cellStyle name="Presentation Hyperlink Arrow." xfId="50" xr:uid="{32E1F40B-55B1-4B5B-BA52-74662D06E4A3}"/>
    <cellStyle name="Presentation Hyperlink Check." xfId="51" xr:uid="{C53770F4-3EDA-40F2-BCE9-7E2C2BA1296E}"/>
    <cellStyle name="Presentation Hyperlink Text." xfId="49" xr:uid="{2E18E85B-0CBD-4B31-BDB3-64416EF7CB44}"/>
    <cellStyle name="Presentation Model Name." xfId="36" xr:uid="{1D2EFA2B-03AC-43E9-BBCD-A5F30F49AFE8}"/>
    <cellStyle name="Presentation Multiple." xfId="44" xr:uid="{889336F8-E5AB-40CF-AA78-A0B31E6881AA}"/>
    <cellStyle name="Presentation Normal." xfId="56" xr:uid="{2D258BE2-9A94-4C38-968D-A11135FC70AF}"/>
    <cellStyle name="Presentation Number." xfId="42" xr:uid="{0D611458-61FB-4AE7-A1DC-A2D0F04DFD91}"/>
    <cellStyle name="Presentation Percentage." xfId="43" xr:uid="{9998F607-40E2-4062-AE10-5368D8506C0C}"/>
    <cellStyle name="Presentation Period Title." xfId="48" xr:uid="{854FF0A6-31CD-402F-9C0B-F710A9B627DB}"/>
    <cellStyle name="Presentation Section Number." xfId="35" xr:uid="{26294E8A-301A-4FCF-964A-8EA4CBDCABED}"/>
    <cellStyle name="Presentation Sheet Title." xfId="34" xr:uid="{04878DC1-EEA3-4D8A-9A41-14A021CAAEDA}"/>
    <cellStyle name="Presentation Sub Total." xfId="41" xr:uid="{74EA233B-6AD9-41A3-B7ED-AB72386FCFBB}"/>
    <cellStyle name="Presentation TOC 1." xfId="52" xr:uid="{1DA4532F-278A-497A-82BF-F7F37032AC6F}"/>
    <cellStyle name="Presentation TOC 2." xfId="53" xr:uid="{00452EB0-EB35-4D38-BCA5-6D1533A6A8B4}"/>
    <cellStyle name="Presentation TOC 3." xfId="54" xr:uid="{D8F7E1A9-5EA9-416A-AA89-42296AB7672A}"/>
    <cellStyle name="Presentation TOC 4." xfId="55" xr:uid="{8368B1EF-BC2F-447E-BF51-691E56E05F6D}"/>
    <cellStyle name="Presentation Year." xfId="46" xr:uid="{67C93B98-4F37-42C7-8B42-5F9B232136C1}"/>
    <cellStyle name="Section Number." xfId="2" xr:uid="{75A4640F-7961-4477-BD43-1BDC2600D959}"/>
    <cellStyle name="Sheet Title." xfId="1" xr:uid="{8C284F38-C407-4DDA-9831-35433F6CB30B}"/>
    <cellStyle name="Sub Total." xfId="8" xr:uid="{15700F10-58F1-4075-AD7A-6B8BF2098F05}"/>
    <cellStyle name="Year." xfId="17" xr:uid="{95988C3D-F0E7-42AE-9BE9-1C7B9418133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0404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E6E6E6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54F72"/>
      <rgbColor rgb="00339966"/>
      <rgbColor rgb="00CB2840"/>
      <rgbColor rgb="00375623"/>
      <rgbColor rgb="00203764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5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4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3.xml" Id="rId6" /><Relationship Type="http://schemas.openxmlformats.org/officeDocument/2006/relationships/sharedStrings" Target="sharedStrings.xml" Id="rId11" /><Relationship Type="http://schemas.openxmlformats.org/officeDocument/2006/relationships/externalLink" Target="externalLinks/externalLink2.xml" Id="rId5" /><Relationship Type="http://schemas.openxmlformats.org/officeDocument/2006/relationships/styles" Target="styles.xml" Id="rId10" /><Relationship Type="http://schemas.openxmlformats.org/officeDocument/2006/relationships/externalLink" Target="externalLinks/externalLink1.xml" Id="rId4" /><Relationship Type="http://schemas.openxmlformats.org/officeDocument/2006/relationships/theme" Target="theme/theme1.xml" Id="rId9" /><Relationship Type="http://schemas.openxmlformats.org/officeDocument/2006/relationships/customXml" Target="/customXML/item2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sNet%20Bushfire%20PT%20Costs%2030th%20Ap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s%20Through/AusNet%20Distribution%20PTRM%202021%20Stub%20Period%20-%20Bushfire%20P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Case/AusNet%20Distribution%20PTRM%202020%20debt%20update%20(inc%20REFCL%20T3)%20-%20Bushfire%20PT%20Base%20Cas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Case/AusNet%20Distribution%20PTRM%202021%20Stub%20period%20-%20Bushfire%20PT%20Base%20Cas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s%20Through/AusNet%20Distribution%20PTRM%202020%20debt%20update%20(inc%20REFCL%20T3)%20-%20Bushfire%20P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hfire PT"/>
      <sheetName val="Escalators"/>
      <sheetName val="Links"/>
      <sheetName val="Actual cost audited by KPMG"/>
    </sheetNames>
    <sheetDataSet>
      <sheetData sheetId="0"/>
      <sheetData sheetId="1"/>
      <sheetData sheetId="2">
        <row r="6">
          <cell r="D6">
            <v>7.5517988683132531</v>
          </cell>
          <cell r="E6">
            <v>-2.7379225506424805E-2</v>
          </cell>
        </row>
        <row r="7">
          <cell r="D7">
            <v>14.02357149</v>
          </cell>
          <cell r="E7">
            <v>-5.1869574634146341E-2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Opening RAB Depn"/>
      <sheetName val="PTRM input"/>
      <sheetName val="WACC"/>
      <sheetName val="WACC Build-up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7">
          <cell r="DX187">
            <v>0.52217787634780644</v>
          </cell>
          <cell r="DY187">
            <v>0.51988859485512529</v>
          </cell>
          <cell r="DZ187">
            <v>0.51735774288506109</v>
          </cell>
          <cell r="EA187">
            <v>0.51521615211175698</v>
          </cell>
          <cell r="EB187">
            <v>0.51330511038865856</v>
          </cell>
        </row>
        <row r="188">
          <cell r="DX188">
            <v>0.23343566386497977</v>
          </cell>
          <cell r="DY188">
            <v>0.2365654129998716</v>
          </cell>
          <cell r="DZ188">
            <v>0.23971299132140511</v>
          </cell>
          <cell r="EA188">
            <v>0.24261879618955079</v>
          </cell>
          <cell r="EB188">
            <v>0.24535394612685302</v>
          </cell>
        </row>
        <row r="189">
          <cell r="DX189">
            <v>0.24438645978721377</v>
          </cell>
          <cell r="DY189">
            <v>0.24354599214500325</v>
          </cell>
          <cell r="DZ189">
            <v>0.24292926579353369</v>
          </cell>
          <cell r="EA189">
            <v>0.24216505169869218</v>
          </cell>
          <cell r="EB189">
            <v>0.24134094348448845</v>
          </cell>
        </row>
      </sheetData>
      <sheetData sheetId="9" refreshError="1"/>
      <sheetData sheetId="10">
        <row r="7">
          <cell r="G7">
            <v>110.79612213888474</v>
          </cell>
        </row>
        <row r="8">
          <cell r="G8">
            <v>52.291136900952978</v>
          </cell>
        </row>
        <row r="9">
          <cell r="G9">
            <v>138.73280329634395</v>
          </cell>
        </row>
        <row r="10">
          <cell r="G10">
            <v>0.97789281681112783</v>
          </cell>
        </row>
        <row r="11">
          <cell r="G11">
            <v>5.3905753044146607</v>
          </cell>
        </row>
        <row r="30">
          <cell r="G30">
            <v>109.51704157054122</v>
          </cell>
        </row>
        <row r="31">
          <cell r="G31">
            <v>51.687464355240969</v>
          </cell>
        </row>
        <row r="32">
          <cell r="G32">
            <v>137.13120903959063</v>
          </cell>
        </row>
        <row r="33">
          <cell r="G33">
            <v>0.96660357964506605</v>
          </cell>
        </row>
        <row r="34">
          <cell r="G34">
            <v>5.3283440639076485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G7">
            <v>217.26898985819372</v>
          </cell>
          <cell r="H7">
            <v>230.94346509936179</v>
          </cell>
          <cell r="I7">
            <v>251.22145850122411</v>
          </cell>
          <cell r="J7">
            <v>268.22763289475336</v>
          </cell>
          <cell r="K7">
            <v>284.00231366833123</v>
          </cell>
        </row>
        <row r="8">
          <cell r="G8">
            <v>102.9841839058931</v>
          </cell>
          <cell r="H8">
            <v>87.637980457488609</v>
          </cell>
          <cell r="I8">
            <v>92.90246421864407</v>
          </cell>
          <cell r="J8">
            <v>96.580013934734922</v>
          </cell>
          <cell r="K8">
            <v>105.57347331114936</v>
          </cell>
        </row>
        <row r="9">
          <cell r="G9">
            <v>230.37385201495573</v>
          </cell>
          <cell r="H9">
            <v>240.17209422204851</v>
          </cell>
          <cell r="I9">
            <v>251.75455748697948</v>
          </cell>
          <cell r="J9">
            <v>262.70388961395855</v>
          </cell>
          <cell r="K9">
            <v>275.10728437043304</v>
          </cell>
        </row>
        <row r="10">
          <cell r="G10">
            <v>5.317803163480348</v>
          </cell>
          <cell r="H10">
            <v>-6.3737814673015984</v>
          </cell>
          <cell r="I10">
            <v>-3.6366093231007839</v>
          </cell>
          <cell r="J10">
            <v>16.156049202765935</v>
          </cell>
          <cell r="K10">
            <v>0.112312622611709</v>
          </cell>
        </row>
        <row r="11">
          <cell r="G11">
            <v>33.04532848105616</v>
          </cell>
          <cell r="H11">
            <v>26.886223936558284</v>
          </cell>
          <cell r="I11">
            <v>27.540846216744018</v>
          </cell>
          <cell r="J11">
            <v>28.925792007492166</v>
          </cell>
          <cell r="K11">
            <v>28.303009200507258</v>
          </cell>
        </row>
        <row r="30">
          <cell r="G30">
            <v>212.28144318597884</v>
          </cell>
          <cell r="H30">
            <v>220.46225754417264</v>
          </cell>
          <cell r="I30">
            <v>234.31473025919058</v>
          </cell>
          <cell r="J30">
            <v>244.43346381944519</v>
          </cell>
          <cell r="K30">
            <v>252.86767156189876</v>
          </cell>
        </row>
        <row r="31">
          <cell r="G31">
            <v>100.6201170224145</v>
          </cell>
          <cell r="H31">
            <v>83.66059204124852</v>
          </cell>
          <cell r="I31">
            <v>86.650304371589428</v>
          </cell>
          <cell r="J31">
            <v>88.012510445038913</v>
          </cell>
          <cell r="K31">
            <v>93.999651024214373</v>
          </cell>
        </row>
        <row r="32">
          <cell r="G32">
            <v>225.08547496799454</v>
          </cell>
          <cell r="H32">
            <v>229.27205179208548</v>
          </cell>
          <cell r="I32">
            <v>234.81195269310982</v>
          </cell>
          <cell r="J32">
            <v>239.3997255397511</v>
          </cell>
          <cell r="K32">
            <v>244.94778767792039</v>
          </cell>
        </row>
        <row r="33">
          <cell r="G33">
            <v>5.1957296384512084</v>
          </cell>
          <cell r="H33">
            <v>-6.0845118556177882</v>
          </cell>
          <cell r="I33">
            <v>-3.3918724048657087</v>
          </cell>
          <cell r="J33">
            <v>14.722864403083316</v>
          </cell>
          <cell r="K33">
            <v>9.9999999999999978E-2</v>
          </cell>
        </row>
        <row r="34">
          <cell r="G34">
            <v>32.286752127359712</v>
          </cell>
          <cell r="H34">
            <v>25.666011477491217</v>
          </cell>
          <cell r="I34">
            <v>25.687399439864251</v>
          </cell>
          <cell r="J34">
            <v>26.35981780775889</v>
          </cell>
          <cell r="K34">
            <v>25.200203273996525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Opening RAB Depn"/>
      <sheetName val="PTRM input"/>
      <sheetName val="WACC"/>
      <sheetName val="WACC Build-up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G7">
            <v>110.60926810324202</v>
          </cell>
        </row>
        <row r="8">
          <cell r="G8">
            <v>52.38163353111927</v>
          </cell>
        </row>
        <row r="9">
          <cell r="G9">
            <v>138.78067093439319</v>
          </cell>
        </row>
        <row r="10">
          <cell r="G10">
            <v>0.97789281681112783</v>
          </cell>
        </row>
        <row r="11">
          <cell r="G11">
            <v>5.4033009685153157</v>
          </cell>
        </row>
        <row r="30">
          <cell r="G30">
            <v>109.33234466243594</v>
          </cell>
        </row>
        <row r="31">
          <cell r="G31">
            <v>51.776916251359609</v>
          </cell>
        </row>
        <row r="32">
          <cell r="G32">
            <v>137.17852407196651</v>
          </cell>
        </row>
        <row r="33">
          <cell r="G33">
            <v>0.96660357964506605</v>
          </cell>
        </row>
        <row r="34">
          <cell r="G34">
            <v>5.3409228171836629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>
        <row r="41">
          <cell r="K41">
            <v>68.618314134362109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G7">
            <v>217.26898985819372</v>
          </cell>
          <cell r="H7">
            <v>230.94346509936179</v>
          </cell>
          <cell r="I7">
            <v>251.22145850122411</v>
          </cell>
          <cell r="J7">
            <v>268.22763289475336</v>
          </cell>
          <cell r="K7">
            <v>284.00231366833123</v>
          </cell>
        </row>
        <row r="8">
          <cell r="G8">
            <v>102.9841839058931</v>
          </cell>
          <cell r="H8">
            <v>87.637980457488609</v>
          </cell>
          <cell r="I8">
            <v>92.90246421864407</v>
          </cell>
          <cell r="J8">
            <v>96.580013934734922</v>
          </cell>
          <cell r="K8">
            <v>105.57347331114936</v>
          </cell>
        </row>
        <row r="9">
          <cell r="G9">
            <v>230.37385201495573</v>
          </cell>
          <cell r="H9">
            <v>240.17209422204851</v>
          </cell>
          <cell r="I9">
            <v>251.75455748697948</v>
          </cell>
          <cell r="J9">
            <v>262.70388961395855</v>
          </cell>
          <cell r="K9">
            <v>289.63647003138908</v>
          </cell>
        </row>
        <row r="10">
          <cell r="G10">
            <v>5.317803163480348</v>
          </cell>
          <cell r="H10">
            <v>-6.3737814673015984</v>
          </cell>
          <cell r="I10">
            <v>-3.6366093231007839</v>
          </cell>
          <cell r="J10">
            <v>16.156049202765935</v>
          </cell>
          <cell r="K10">
            <v>0.112312622611709</v>
          </cell>
        </row>
        <row r="11">
          <cell r="G11">
            <v>33.04532848105616</v>
          </cell>
          <cell r="H11">
            <v>26.886223936558284</v>
          </cell>
          <cell r="I11">
            <v>27.540846216744018</v>
          </cell>
          <cell r="J11">
            <v>28.925792007492166</v>
          </cell>
          <cell r="K11">
            <v>28.303009200507258</v>
          </cell>
        </row>
        <row r="30">
          <cell r="G30">
            <v>212.28144318597884</v>
          </cell>
          <cell r="H30">
            <v>220.46225754417264</v>
          </cell>
          <cell r="I30">
            <v>234.31473025919058</v>
          </cell>
          <cell r="J30">
            <v>244.43346381944519</v>
          </cell>
          <cell r="K30">
            <v>252.86767156189876</v>
          </cell>
        </row>
        <row r="31">
          <cell r="G31">
            <v>100.6201170224145</v>
          </cell>
          <cell r="H31">
            <v>83.66059204124852</v>
          </cell>
          <cell r="I31">
            <v>86.650304371589428</v>
          </cell>
          <cell r="J31">
            <v>88.012510445038913</v>
          </cell>
          <cell r="K31">
            <v>93.999651024214373</v>
          </cell>
        </row>
        <row r="32">
          <cell r="G32">
            <v>225.08547496799454</v>
          </cell>
          <cell r="H32">
            <v>229.27205179208548</v>
          </cell>
          <cell r="I32">
            <v>234.81195269310982</v>
          </cell>
          <cell r="J32">
            <v>239.3997255397511</v>
          </cell>
          <cell r="K32">
            <v>257.88416590780719</v>
          </cell>
        </row>
        <row r="33">
          <cell r="G33">
            <v>5.1957296384512084</v>
          </cell>
          <cell r="H33">
            <v>-6.0845118556177882</v>
          </cell>
          <cell r="I33">
            <v>-3.3918724048657087</v>
          </cell>
          <cell r="J33">
            <v>14.722864403083316</v>
          </cell>
          <cell r="K33">
            <v>9.9999999999999978E-2</v>
          </cell>
        </row>
        <row r="34">
          <cell r="G34">
            <v>32.286752127359712</v>
          </cell>
          <cell r="H34">
            <v>25.666011477491217</v>
          </cell>
          <cell r="I34">
            <v>25.687399439864251</v>
          </cell>
          <cell r="J34">
            <v>26.35981780775889</v>
          </cell>
          <cell r="K34">
            <v>25.200203273996525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rial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E52F-4917-4736-A8F6-6589C6E48C31}">
  <dimension ref="B2:Q51"/>
  <sheetViews>
    <sheetView showGridLines="0" workbookViewId="0"/>
  </sheetViews>
  <sheetFormatPr defaultRowHeight="12"/>
  <cols>
    <col min="1" max="2" width="3.7109375" customWidth="1"/>
    <col min="3" max="3" width="34.42578125" bestFit="1" customWidth="1"/>
    <col min="4" max="4" width="9.28515625" customWidth="1"/>
    <col min="5" max="5" width="9.5703125" customWidth="1"/>
    <col min="9" max="9" width="3.7109375" customWidth="1"/>
    <col min="11" max="11" width="12.28515625" customWidth="1"/>
    <col min="12" max="12" width="12" customWidth="1"/>
  </cols>
  <sheetData>
    <row r="2" spans="2:12" ht="15">
      <c r="B2" s="1" t="s">
        <v>0</v>
      </c>
      <c r="D2" s="23"/>
    </row>
    <row r="3" spans="2:12" ht="5.0999999999999996" customHeight="1"/>
    <row r="4" spans="2:12">
      <c r="C4" s="25" t="s">
        <v>1</v>
      </c>
    </row>
    <row r="5" spans="2:12" ht="5.0999999999999996" customHeight="1"/>
    <row r="6" spans="2:12" ht="25.5">
      <c r="F6" s="38">
        <v>2020</v>
      </c>
      <c r="G6" s="40" t="s">
        <v>2</v>
      </c>
    </row>
    <row r="7" spans="2:12" ht="5.0999999999999996" customHeight="1"/>
    <row r="8" spans="2:12">
      <c r="C8" t="s">
        <v>3</v>
      </c>
      <c r="F8" s="2">
        <f>[1]Links!$D$6</f>
        <v>7.5517988683132531</v>
      </c>
      <c r="G8" s="2">
        <f>[1]Links!$E$6</f>
        <v>-2.7379225506424805E-2</v>
      </c>
      <c r="H8" s="2"/>
      <c r="I8" s="2"/>
      <c r="J8" s="2"/>
      <c r="K8" s="2"/>
      <c r="L8" s="2"/>
    </row>
    <row r="9" spans="2:12" ht="5.0999999999999996" customHeight="1">
      <c r="F9" s="2"/>
      <c r="G9" s="2"/>
      <c r="H9" s="2"/>
      <c r="I9" s="2"/>
      <c r="J9" s="2"/>
      <c r="K9" s="2"/>
      <c r="L9" s="2"/>
    </row>
    <row r="10" spans="2:12">
      <c r="C10" t="s">
        <v>4</v>
      </c>
      <c r="F10" s="2">
        <f>[1]Links!$D$7</f>
        <v>14.02357149</v>
      </c>
      <c r="G10" s="2">
        <f>[1]Links!$E$7</f>
        <v>-5.1869574634146341E-2</v>
      </c>
      <c r="H10" s="2"/>
      <c r="I10" s="2"/>
      <c r="J10" s="2"/>
      <c r="K10" s="2"/>
      <c r="L10" s="2"/>
    </row>
    <row r="11" spans="2:12" ht="12.75" thickBot="1">
      <c r="C11" s="10"/>
      <c r="D11" s="33"/>
      <c r="E11" s="33"/>
      <c r="F11" s="33"/>
      <c r="G11" s="33"/>
      <c r="H11" s="33"/>
      <c r="I11" s="33"/>
      <c r="J11" s="2"/>
      <c r="K11" s="2"/>
      <c r="L11" s="2"/>
    </row>
    <row r="12" spans="2:12" ht="5.0999999999999996" customHeight="1">
      <c r="D12" s="2"/>
      <c r="E12" s="2"/>
      <c r="F12" s="2"/>
      <c r="G12" s="2"/>
      <c r="H12" s="2"/>
      <c r="I12" s="2"/>
      <c r="J12" s="2"/>
      <c r="K12" s="2"/>
      <c r="L12" s="2"/>
    </row>
    <row r="13" spans="2:12">
      <c r="C13" s="25" t="s">
        <v>5</v>
      </c>
      <c r="D13" s="2"/>
      <c r="E13" s="2"/>
      <c r="F13" s="2"/>
      <c r="G13" s="2"/>
      <c r="H13" s="2"/>
      <c r="I13" s="2"/>
      <c r="J13" s="2"/>
      <c r="K13" s="2"/>
      <c r="L13" s="2"/>
    </row>
    <row r="14" spans="2:12" ht="5.0999999999999996" customHeight="1">
      <c r="C14" s="25"/>
      <c r="D14" s="2"/>
      <c r="E14" s="2"/>
      <c r="F14" s="2"/>
      <c r="G14" s="2"/>
      <c r="H14" s="2"/>
      <c r="I14" s="2"/>
      <c r="J14" s="2"/>
      <c r="K14" s="2"/>
      <c r="L14" s="2"/>
    </row>
    <row r="15" spans="2:12" ht="12.75">
      <c r="D15" s="38">
        <v>2016</v>
      </c>
      <c r="E15" s="38">
        <v>2017</v>
      </c>
      <c r="F15" s="38">
        <v>2018</v>
      </c>
      <c r="G15" s="38">
        <v>2019</v>
      </c>
      <c r="H15" s="38">
        <v>2020</v>
      </c>
      <c r="I15" s="2"/>
      <c r="J15" s="39" t="s">
        <v>2</v>
      </c>
      <c r="K15" s="2"/>
      <c r="L15" s="2"/>
    </row>
    <row r="16" spans="2:12" ht="5.0999999999999996" customHeight="1">
      <c r="D16" s="2"/>
      <c r="E16" s="2"/>
      <c r="F16" s="2"/>
      <c r="G16" s="2"/>
      <c r="H16" s="2"/>
      <c r="I16" s="2"/>
      <c r="J16" s="2"/>
      <c r="K16" s="2"/>
      <c r="L16" s="2"/>
    </row>
    <row r="17" spans="3:17">
      <c r="C17" s="34" t="s">
        <v>6</v>
      </c>
      <c r="D17" s="26">
        <f>'Busfire PT'!E20</f>
        <v>0</v>
      </c>
      <c r="E17" s="26">
        <f>'Busfire PT'!F20</f>
        <v>0</v>
      </c>
      <c r="F17" s="26">
        <f>'Busfire PT'!G20</f>
        <v>0</v>
      </c>
      <c r="G17" s="26">
        <f>'Busfire PT'!H20</f>
        <v>0</v>
      </c>
      <c r="H17" s="26">
        <f>'Busfire PT'!I20</f>
        <v>0</v>
      </c>
      <c r="I17" s="2"/>
      <c r="J17" s="2">
        <f>'Busfire PT'!L20</f>
        <v>0.18685403564272463</v>
      </c>
      <c r="K17" s="2"/>
      <c r="L17" s="2"/>
    </row>
    <row r="18" spans="3:17">
      <c r="C18" s="34" t="s">
        <v>7</v>
      </c>
      <c r="D18" s="26">
        <f>'Busfire PT'!E21</f>
        <v>0</v>
      </c>
      <c r="E18" s="26">
        <f>'Busfire PT'!F21</f>
        <v>0</v>
      </c>
      <c r="F18" s="26">
        <f>'Busfire PT'!G21</f>
        <v>0</v>
      </c>
      <c r="G18" s="26">
        <f>'Busfire PT'!H21</f>
        <v>0</v>
      </c>
      <c r="H18" s="26">
        <f>'Busfire PT'!I21</f>
        <v>0</v>
      </c>
      <c r="I18" s="2"/>
      <c r="J18" s="2">
        <f>'Busfire PT'!L21</f>
        <v>-9.0496630166292391E-2</v>
      </c>
      <c r="K18" s="2"/>
      <c r="L18" s="2"/>
    </row>
    <row r="19" spans="3:17">
      <c r="C19" s="34" t="s">
        <v>8</v>
      </c>
      <c r="D19" s="26">
        <f>'Busfire PT'!E22</f>
        <v>0</v>
      </c>
      <c r="E19" s="26">
        <f>'Busfire PT'!F22</f>
        <v>0</v>
      </c>
      <c r="F19" s="26" t="e">
        <f>'Busfire PT'!G22</f>
        <v>#VALUE!</v>
      </c>
      <c r="G19" s="26">
        <f>'Busfire PT'!H22</f>
        <v>0</v>
      </c>
      <c r="H19" s="26">
        <f>'Busfire PT'!I22</f>
        <v>14.529185660956045</v>
      </c>
      <c r="I19" s="2"/>
      <c r="J19" s="2">
        <f>'Busfire PT'!L22</f>
        <v>-4.7867638049240213E-2</v>
      </c>
      <c r="K19" s="2"/>
      <c r="L19" s="2"/>
    </row>
    <row r="20" spans="3:17" hidden="1">
      <c r="C20" s="34" t="s">
        <v>9</v>
      </c>
      <c r="D20" s="26">
        <f>'Busfire PT'!E23</f>
        <v>0</v>
      </c>
      <c r="E20" s="26">
        <f>'Busfire PT'!F23</f>
        <v>0</v>
      </c>
      <c r="F20" s="26">
        <f>'Busfire PT'!G23</f>
        <v>0</v>
      </c>
      <c r="G20" s="26">
        <f>'Busfire PT'!H23</f>
        <v>0</v>
      </c>
      <c r="H20" s="26">
        <f>'Busfire PT'!I23</f>
        <v>0</v>
      </c>
      <c r="I20" s="2"/>
      <c r="J20" s="2">
        <f>'Busfire PT'!L23</f>
        <v>0</v>
      </c>
      <c r="K20" s="2"/>
      <c r="L20" s="2"/>
    </row>
    <row r="21" spans="3:17">
      <c r="C21" s="34" t="s">
        <v>10</v>
      </c>
      <c r="D21" s="26">
        <f>'Busfire PT'!E24</f>
        <v>0</v>
      </c>
      <c r="E21" s="26">
        <f>'Busfire PT'!F24</f>
        <v>0</v>
      </c>
      <c r="F21" s="26">
        <f>'Busfire PT'!G24</f>
        <v>0</v>
      </c>
      <c r="G21" s="26">
        <f>'Busfire PT'!H24</f>
        <v>0</v>
      </c>
      <c r="H21" s="26">
        <f>'Busfire PT'!I24</f>
        <v>0</v>
      </c>
      <c r="I21" s="2"/>
      <c r="J21" s="2">
        <f>'Busfire PT'!L24</f>
        <v>-1.272566410065501E-2</v>
      </c>
      <c r="K21" s="2"/>
      <c r="L21" s="2"/>
    </row>
    <row r="22" spans="3:17" s="11" customFormat="1">
      <c r="C22" s="24" t="s">
        <v>11</v>
      </c>
      <c r="D22" s="27">
        <f>SUM(D17:D21)</f>
        <v>0</v>
      </c>
      <c r="E22" s="27">
        <f t="shared" ref="E22:H22" si="0">SUM(E17:E21)</f>
        <v>0</v>
      </c>
      <c r="F22" s="27" t="e">
        <f t="shared" si="0"/>
        <v>#VALUE!</v>
      </c>
      <c r="G22" s="27">
        <f t="shared" si="0"/>
        <v>0</v>
      </c>
      <c r="H22" s="27">
        <f t="shared" si="0"/>
        <v>14.529185660956045</v>
      </c>
      <c r="I22" s="15"/>
      <c r="J22" s="27">
        <f>SUM(J17:J21)</f>
        <v>3.5764103326537011E-2</v>
      </c>
      <c r="K22" s="15"/>
      <c r="L22" s="15"/>
    </row>
    <row r="23" spans="3:17" ht="12.75" thickBot="1">
      <c r="C23" s="10"/>
      <c r="D23" s="33"/>
      <c r="E23" s="33"/>
      <c r="F23" s="33"/>
      <c r="G23" s="33"/>
      <c r="H23" s="33"/>
      <c r="I23" s="33"/>
      <c r="J23" s="33"/>
      <c r="K23" s="2"/>
      <c r="L23" s="2"/>
    </row>
    <row r="25" spans="3:17">
      <c r="C25" s="25" t="s">
        <v>12</v>
      </c>
      <c r="D25" s="2"/>
      <c r="E25" s="2"/>
      <c r="F25" s="2"/>
      <c r="G25" s="2"/>
      <c r="H25" s="2"/>
      <c r="I25" s="2"/>
      <c r="J25" s="2"/>
    </row>
    <row r="26" spans="3:17" ht="5.0999999999999996" customHeight="1">
      <c r="C26" s="25"/>
      <c r="D26" s="2"/>
      <c r="E26" s="2"/>
      <c r="F26" s="2"/>
      <c r="G26" s="2"/>
      <c r="H26" s="2"/>
      <c r="I26" s="2"/>
      <c r="J26" s="2"/>
    </row>
    <row r="27" spans="3:17" ht="12.75">
      <c r="D27" s="38">
        <v>2016</v>
      </c>
      <c r="E27" s="38">
        <v>2017</v>
      </c>
      <c r="F27" s="38">
        <v>2018</v>
      </c>
      <c r="G27" s="38">
        <v>2019</v>
      </c>
      <c r="H27" s="38">
        <v>2020</v>
      </c>
      <c r="I27" s="2"/>
      <c r="J27" s="39" t="s">
        <v>2</v>
      </c>
      <c r="L27" s="67">
        <v>2021</v>
      </c>
      <c r="M27" s="67">
        <v>2022</v>
      </c>
      <c r="N27" s="67">
        <v>2023</v>
      </c>
      <c r="O27" s="67">
        <v>2024</v>
      </c>
      <c r="P27" s="67">
        <v>2025</v>
      </c>
      <c r="Q27" s="67">
        <v>2026</v>
      </c>
    </row>
    <row r="28" spans="3:17">
      <c r="D28" s="2"/>
      <c r="E28" s="2"/>
      <c r="F28" s="2"/>
      <c r="G28" s="2"/>
      <c r="H28" s="2"/>
      <c r="I28" s="2"/>
      <c r="J28" s="2"/>
    </row>
    <row r="29" spans="3:17">
      <c r="C29" s="34" t="s">
        <v>6</v>
      </c>
      <c r="D29" s="26">
        <f>'Busfire PT'!E20</f>
        <v>0</v>
      </c>
      <c r="E29" s="26">
        <f>'Busfire PT'!F20</f>
        <v>0</v>
      </c>
      <c r="F29" s="26">
        <f>'Busfire PT'!G20</f>
        <v>0</v>
      </c>
      <c r="G29" s="26">
        <f>'Busfire PT'!H20</f>
        <v>0</v>
      </c>
      <c r="H29" s="26">
        <f>'Busfire PT'!I20*Escalators!$P$13</f>
        <v>0</v>
      </c>
      <c r="I29" s="2"/>
      <c r="J29" s="2">
        <f>'Busfire PT'!L20</f>
        <v>0.18685403564272463</v>
      </c>
      <c r="L29" s="2">
        <f>H29+J29</f>
        <v>0.18685403564272463</v>
      </c>
    </row>
    <row r="30" spans="3:17">
      <c r="C30" s="34" t="s">
        <v>7</v>
      </c>
      <c r="D30" s="26">
        <f>'Busfire PT'!E21</f>
        <v>0</v>
      </c>
      <c r="E30" s="26">
        <f>'Busfire PT'!F21</f>
        <v>0</v>
      </c>
      <c r="F30" s="26">
        <f>'Busfire PT'!G21</f>
        <v>0</v>
      </c>
      <c r="G30" s="26">
        <f>'Busfire PT'!H21</f>
        <v>0</v>
      </c>
      <c r="H30" s="26">
        <f>'Busfire PT'!I21*Escalators!$P$13</f>
        <v>0</v>
      </c>
      <c r="I30" s="2"/>
      <c r="J30" s="2">
        <f>'Busfire PT'!L21</f>
        <v>-9.0496630166292391E-2</v>
      </c>
      <c r="L30" s="2">
        <f t="shared" ref="L30:L33" si="1">H30+J30</f>
        <v>-9.0496630166292391E-2</v>
      </c>
    </row>
    <row r="31" spans="3:17">
      <c r="C31" s="34" t="s">
        <v>8</v>
      </c>
      <c r="D31" s="26">
        <f>'Busfire PT'!E22</f>
        <v>0</v>
      </c>
      <c r="E31" s="26">
        <f>'Busfire PT'!F22</f>
        <v>0</v>
      </c>
      <c r="F31" s="26" t="e">
        <f>'Busfire PT'!G22</f>
        <v>#VALUE!</v>
      </c>
      <c r="G31" s="26">
        <f>'Busfire PT'!H22</f>
        <v>0</v>
      </c>
      <c r="H31" s="26">
        <f>'Busfire PT'!I22*Escalators!$P$13</f>
        <v>14.673758233320507</v>
      </c>
      <c r="I31" s="2"/>
      <c r="J31" s="2">
        <f>'Busfire PT'!L22</f>
        <v>-4.7867638049240213E-2</v>
      </c>
      <c r="L31" s="2">
        <f t="shared" si="1"/>
        <v>14.625890595271267</v>
      </c>
    </row>
    <row r="32" spans="3:17">
      <c r="C32" s="34" t="s">
        <v>9</v>
      </c>
      <c r="D32" s="26">
        <f>'Busfire PT'!E23</f>
        <v>0</v>
      </c>
      <c r="E32" s="26">
        <f>'Busfire PT'!F23</f>
        <v>0</v>
      </c>
      <c r="F32" s="26">
        <f>'Busfire PT'!G23</f>
        <v>0</v>
      </c>
      <c r="G32" s="26">
        <f>'Busfire PT'!H23</f>
        <v>0</v>
      </c>
      <c r="H32" s="26">
        <f>'Busfire PT'!I23*Escalators!$P$13</f>
        <v>0</v>
      </c>
      <c r="I32" s="2"/>
      <c r="J32" s="2">
        <f>'Busfire PT'!L23</f>
        <v>0</v>
      </c>
      <c r="L32" s="2">
        <f t="shared" si="1"/>
        <v>0</v>
      </c>
    </row>
    <row r="33" spans="3:17">
      <c r="C33" s="34" t="s">
        <v>10</v>
      </c>
      <c r="D33" s="26">
        <f>'Busfire PT'!E24</f>
        <v>0</v>
      </c>
      <c r="E33" s="26">
        <f>'Busfire PT'!F24</f>
        <v>0</v>
      </c>
      <c r="F33" s="26">
        <f>'Busfire PT'!G24</f>
        <v>0</v>
      </c>
      <c r="G33" s="26">
        <f>'Busfire PT'!H24</f>
        <v>0</v>
      </c>
      <c r="H33" s="26">
        <f>'Busfire PT'!I24*Escalators!$P$13</f>
        <v>0</v>
      </c>
      <c r="I33" s="2"/>
      <c r="J33" s="2">
        <f>'Busfire PT'!L24</f>
        <v>-1.272566410065501E-2</v>
      </c>
      <c r="L33" s="2">
        <f t="shared" si="1"/>
        <v>-1.272566410065501E-2</v>
      </c>
    </row>
    <row r="34" spans="3:17">
      <c r="C34" s="24" t="s">
        <v>11</v>
      </c>
      <c r="D34" s="27">
        <f>SUM(D29:D33)</f>
        <v>0</v>
      </c>
      <c r="E34" s="27">
        <f t="shared" ref="E34:H34" si="2">SUM(E29:E33)</f>
        <v>0</v>
      </c>
      <c r="F34" s="27" t="e">
        <f t="shared" si="2"/>
        <v>#VALUE!</v>
      </c>
      <c r="G34" s="27">
        <f t="shared" si="2"/>
        <v>0</v>
      </c>
      <c r="H34" s="27">
        <f t="shared" si="2"/>
        <v>14.673758233320507</v>
      </c>
      <c r="I34" s="15"/>
      <c r="J34" s="27">
        <f>SUM(J29:J33)</f>
        <v>3.5764103326537011E-2</v>
      </c>
      <c r="L34" s="27">
        <f>SUM(L29:L33)</f>
        <v>14.709522336647044</v>
      </c>
    </row>
    <row r="36" spans="3:17">
      <c r="K36" s="69" t="s">
        <v>13</v>
      </c>
      <c r="L36" s="70">
        <f>'[2]Forecast revenues'!DX187</f>
        <v>0.52217787634780644</v>
      </c>
      <c r="M36" s="70">
        <f>'[2]Forecast revenues'!DY187</f>
        <v>0.51988859485512529</v>
      </c>
      <c r="N36" s="70">
        <f>'[2]Forecast revenues'!DZ187</f>
        <v>0.51735774288506109</v>
      </c>
      <c r="O36" s="70">
        <f>'[2]Forecast revenues'!EA187</f>
        <v>0.51521615211175698</v>
      </c>
      <c r="P36" s="70">
        <f>'[2]Forecast revenues'!EB187</f>
        <v>0.51330511038865856</v>
      </c>
      <c r="Q36" s="70">
        <f>P36</f>
        <v>0.51330511038865856</v>
      </c>
    </row>
    <row r="37" spans="3:17">
      <c r="K37" s="69" t="s">
        <v>14</v>
      </c>
      <c r="L37" s="70">
        <f>SUM('[2]Forecast revenues'!DX188:DX189)</f>
        <v>0.47782212365219356</v>
      </c>
      <c r="M37" s="70">
        <f>SUM('[2]Forecast revenues'!DY188:DY189)</f>
        <v>0.48011140514487483</v>
      </c>
      <c r="N37" s="70">
        <f>SUM('[2]Forecast revenues'!DZ188:DZ189)</f>
        <v>0.4826422571149388</v>
      </c>
      <c r="O37" s="70">
        <f>SUM('[2]Forecast revenues'!EA188:EA189)</f>
        <v>0.48478384788824297</v>
      </c>
      <c r="P37" s="70">
        <f>SUM('[2]Forecast revenues'!EB188:EB189)</f>
        <v>0.48669488961134144</v>
      </c>
      <c r="Q37" s="70">
        <f>P37</f>
        <v>0.48669488961134144</v>
      </c>
    </row>
    <row r="39" spans="3:17">
      <c r="K39" s="69" t="s">
        <v>15</v>
      </c>
      <c r="L39" s="68">
        <v>684665</v>
      </c>
      <c r="M39" s="68">
        <v>697378</v>
      </c>
      <c r="N39" s="68">
        <v>710108</v>
      </c>
      <c r="O39" s="68">
        <v>722978</v>
      </c>
      <c r="P39" s="68">
        <v>736043</v>
      </c>
      <c r="Q39" s="68">
        <v>749148</v>
      </c>
    </row>
    <row r="40" spans="3:17">
      <c r="K40" s="69" t="s">
        <v>16</v>
      </c>
      <c r="L40" s="68">
        <v>71932.509996959285</v>
      </c>
      <c r="M40" s="68">
        <v>72208.433935791487</v>
      </c>
      <c r="N40" s="68">
        <v>72488.551184569485</v>
      </c>
      <c r="O40" s="68">
        <v>72755.716868868214</v>
      </c>
      <c r="P40" s="68">
        <v>73022.904368868214</v>
      </c>
      <c r="Q40" s="68">
        <v>73295.738801210187</v>
      </c>
    </row>
    <row r="41" spans="3:17" ht="12.75">
      <c r="D41" s="65"/>
      <c r="K41" s="69"/>
    </row>
    <row r="42" spans="3:17" ht="14.25">
      <c r="C42" s="66"/>
      <c r="K42" s="69" t="s">
        <v>17</v>
      </c>
      <c r="L42" s="71">
        <f>L34*L36*1000000/L39</f>
        <v>11.218606378069532</v>
      </c>
    </row>
    <row r="43" spans="3:17" ht="14.25">
      <c r="C43" s="66"/>
      <c r="K43" s="69" t="s">
        <v>18</v>
      </c>
      <c r="L43" s="71">
        <f>L34*L37*1000000/L40</f>
        <v>97.710134139670316</v>
      </c>
    </row>
    <row r="44" spans="3:17" ht="14.25">
      <c r="C44" s="66"/>
      <c r="K44" s="69" t="s">
        <v>19</v>
      </c>
      <c r="L44" s="71">
        <f>L34/SUM(L39:L40)*1000000</f>
        <v>19.44167426179629</v>
      </c>
    </row>
    <row r="46" spans="3:17">
      <c r="J46" s="69" t="s">
        <v>20</v>
      </c>
      <c r="K46" s="2">
        <v>1.9295959097228339</v>
      </c>
      <c r="L46" s="2">
        <f>L39*$K$46/1000000/2</f>
        <v>0.66056339176519208</v>
      </c>
      <c r="M46" s="2">
        <f>M39*$K$46/1000000</f>
        <v>1.3456577363306905</v>
      </c>
      <c r="N46" s="2">
        <f t="shared" ref="N46:Q46" si="3">N39*$K$46/1000000</f>
        <v>1.3702214922614622</v>
      </c>
      <c r="O46" s="2">
        <f t="shared" si="3"/>
        <v>1.3950553916195949</v>
      </c>
      <c r="P46" s="2">
        <f t="shared" si="3"/>
        <v>1.4202655621801237</v>
      </c>
      <c r="Q46" s="2">
        <f t="shared" si="3"/>
        <v>1.4455529165770415</v>
      </c>
    </row>
    <row r="47" spans="3:17">
      <c r="J47" s="69"/>
      <c r="K47" s="2">
        <f>L36*L31</f>
        <v>7.6373164907341051</v>
      </c>
      <c r="L47" s="2">
        <f>SUM(L46:Q46)-K47</f>
        <v>0</v>
      </c>
      <c r="M47" s="2"/>
      <c r="N47" s="2"/>
      <c r="O47" s="2"/>
      <c r="P47" s="2"/>
      <c r="Q47" s="2"/>
    </row>
    <row r="48" spans="3:17">
      <c r="J48" s="69"/>
    </row>
    <row r="49" spans="10:17">
      <c r="J49" s="69" t="s">
        <v>21</v>
      </c>
      <c r="K49" s="2"/>
      <c r="L49" s="2">
        <f>L46*1000000/L39</f>
        <v>0.96479795486141695</v>
      </c>
      <c r="M49" s="2">
        <f t="shared" ref="M49:Q49" si="4">M46*1000000/M39</f>
        <v>1.9295959097228341</v>
      </c>
      <c r="N49" s="2">
        <f t="shared" si="4"/>
        <v>1.9295959097228339</v>
      </c>
      <c r="O49" s="2">
        <f t="shared" si="4"/>
        <v>1.9295959097228339</v>
      </c>
      <c r="P49" s="2">
        <f t="shared" si="4"/>
        <v>1.9295959097228339</v>
      </c>
      <c r="Q49" s="2">
        <f t="shared" si="4"/>
        <v>1.9295959097228339</v>
      </c>
    </row>
    <row r="51" spans="10:17">
      <c r="L51" s="2">
        <f>$L$31/11</f>
        <v>1.3296264177519335</v>
      </c>
      <c r="M51" s="2">
        <f>$L$31/11*2</f>
        <v>2.6592528355038669</v>
      </c>
      <c r="N51" s="2">
        <f t="shared" ref="N51:Q51" si="5">$L$31/11*2</f>
        <v>2.6592528355038669</v>
      </c>
      <c r="O51" s="2">
        <f t="shared" si="5"/>
        <v>2.6592528355038669</v>
      </c>
      <c r="P51" s="2">
        <f t="shared" si="5"/>
        <v>2.6592528355038669</v>
      </c>
      <c r="Q51" s="2">
        <f t="shared" si="5"/>
        <v>2.6592528355038669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FA94-8EB2-4717-ACCE-1E5871CF138F}">
  <dimension ref="B2:L48"/>
  <sheetViews>
    <sheetView showGridLines="0" tabSelected="1" workbookViewId="0">
      <selection activeCell="I22" sqref="I22"/>
    </sheetView>
  </sheetViews>
  <sheetFormatPr defaultRowHeight="15" outlineLevelRow="1"/>
  <cols>
    <col min="2" max="2" width="3.7109375" style="1" customWidth="1"/>
    <col min="3" max="3" width="40.85546875" customWidth="1"/>
    <col min="4" max="4" width="10.85546875" customWidth="1"/>
    <col min="5" max="9" width="10.7109375" customWidth="1"/>
    <col min="10" max="10" width="10.7109375" style="1" customWidth="1"/>
    <col min="11" max="11" width="3.7109375" customWidth="1"/>
    <col min="12" max="12" width="10" bestFit="1" customWidth="1"/>
  </cols>
  <sheetData>
    <row r="2" spans="2:12" ht="18">
      <c r="B2" s="4" t="s">
        <v>22</v>
      </c>
    </row>
    <row r="4" spans="2:12">
      <c r="E4" s="21">
        <v>2016</v>
      </c>
      <c r="F4" s="21">
        <v>2017</v>
      </c>
      <c r="G4" s="21">
        <v>2018</v>
      </c>
      <c r="H4" s="21">
        <v>2019</v>
      </c>
      <c r="I4" s="21">
        <v>2020</v>
      </c>
      <c r="J4" s="21" t="s">
        <v>23</v>
      </c>
      <c r="K4" s="22"/>
      <c r="L4" s="35" t="s">
        <v>2</v>
      </c>
    </row>
    <row r="6" spans="2:12">
      <c r="B6" s="1" t="s">
        <v>24</v>
      </c>
    </row>
    <row r="7" spans="2:12" ht="5.0999999999999996" customHeight="1"/>
    <row r="8" spans="2:12" ht="12" outlineLevel="1">
      <c r="B8" s="11"/>
      <c r="C8" s="5" t="s">
        <v>6</v>
      </c>
      <c r="E8" s="2">
        <f>'[3]Revenue summary'!G7</f>
        <v>217.26898985819372</v>
      </c>
      <c r="F8" s="2">
        <f>'[3]Revenue summary'!H7</f>
        <v>230.94346509936179</v>
      </c>
      <c r="G8" s="2">
        <f>'[3]Revenue summary'!I7</f>
        <v>251.22145850122411</v>
      </c>
      <c r="H8" s="2">
        <f>'[3]Revenue summary'!J7</f>
        <v>268.22763289475336</v>
      </c>
      <c r="I8" s="2">
        <f>'[3]Revenue summary'!K7</f>
        <v>284.00231366833123</v>
      </c>
      <c r="J8" s="15">
        <f t="shared" ref="J8:J12" si="0">SUM(E8:I8)</f>
        <v>1251.6638600218644</v>
      </c>
      <c r="L8" s="2">
        <f>'[4]Revenue summary'!G7</f>
        <v>110.60926810324202</v>
      </c>
    </row>
    <row r="9" spans="2:12" ht="12" outlineLevel="1">
      <c r="B9" s="11"/>
      <c r="C9" s="5" t="s">
        <v>7</v>
      </c>
      <c r="E9" s="2">
        <f>'[3]Revenue summary'!G8</f>
        <v>102.9841839058931</v>
      </c>
      <c r="F9" s="2">
        <f>'[3]Revenue summary'!H8</f>
        <v>87.637980457488609</v>
      </c>
      <c r="G9" s="2">
        <f>'[3]Revenue summary'!I8</f>
        <v>92.90246421864407</v>
      </c>
      <c r="H9" s="2">
        <f>'[3]Revenue summary'!J8</f>
        <v>96.580013934734922</v>
      </c>
      <c r="I9" s="2">
        <f>'[3]Revenue summary'!K8</f>
        <v>105.57347331114936</v>
      </c>
      <c r="J9" s="15">
        <f t="shared" si="0"/>
        <v>485.67811582791006</v>
      </c>
      <c r="L9" s="2">
        <f>'[4]Revenue summary'!G8</f>
        <v>52.38163353111927</v>
      </c>
    </row>
    <row r="10" spans="2:12" ht="12" outlineLevel="1">
      <c r="B10" s="11"/>
      <c r="C10" s="5" t="s">
        <v>8</v>
      </c>
      <c r="E10" s="2">
        <f>'[3]Revenue summary'!G9</f>
        <v>230.37385201495573</v>
      </c>
      <c r="F10" s="2">
        <f>'[3]Revenue summary'!H9</f>
        <v>240.17209422204851</v>
      </c>
      <c r="G10" s="2">
        <f>'[3]Revenue summary'!I9</f>
        <v>251.75455748697948</v>
      </c>
      <c r="H10" s="2">
        <f>'[3]Revenue summary'!J9</f>
        <v>262.70388961395855</v>
      </c>
      <c r="I10" s="2">
        <f>'[3]Revenue summary'!K9</f>
        <v>275.10728437043304</v>
      </c>
      <c r="J10" s="15">
        <f t="shared" si="0"/>
        <v>1260.1116777083753</v>
      </c>
      <c r="L10" s="2">
        <f>'[4]Revenue summary'!G9</f>
        <v>138.78067093439319</v>
      </c>
    </row>
    <row r="11" spans="2:12" ht="12" outlineLevel="1">
      <c r="B11" s="11"/>
      <c r="C11" s="5" t="s">
        <v>9</v>
      </c>
      <c r="E11" s="2">
        <f>'[3]Revenue summary'!G10</f>
        <v>5.317803163480348</v>
      </c>
      <c r="F11" s="2">
        <f>'[3]Revenue summary'!H10</f>
        <v>-6.3737814673015984</v>
      </c>
      <c r="G11" s="2">
        <f>'[3]Revenue summary'!I10</f>
        <v>-3.6366093231007839</v>
      </c>
      <c r="H11" s="2">
        <f>'[3]Revenue summary'!J10</f>
        <v>16.156049202765935</v>
      </c>
      <c r="I11" s="2">
        <f>'[3]Revenue summary'!K10</f>
        <v>0.112312622611709</v>
      </c>
      <c r="J11" s="15">
        <f t="shared" si="0"/>
        <v>11.57577419845561</v>
      </c>
      <c r="L11" s="2">
        <f>'[4]Revenue summary'!G10</f>
        <v>0.97789281681112783</v>
      </c>
    </row>
    <row r="12" spans="2:12" ht="12" outlineLevel="1">
      <c r="B12" s="11"/>
      <c r="C12" s="6" t="s">
        <v>10</v>
      </c>
      <c r="D12" s="7"/>
      <c r="E12" s="8">
        <f>'[3]Revenue summary'!G11</f>
        <v>33.04532848105616</v>
      </c>
      <c r="F12" s="8">
        <f>'[3]Revenue summary'!H11</f>
        <v>26.886223936558284</v>
      </c>
      <c r="G12" s="8">
        <f>'[3]Revenue summary'!I11</f>
        <v>27.540846216744018</v>
      </c>
      <c r="H12" s="8">
        <f>'[3]Revenue summary'!J11</f>
        <v>28.925792007492166</v>
      </c>
      <c r="I12" s="8">
        <f>'[3]Revenue summary'!K11</f>
        <v>28.303009200507258</v>
      </c>
      <c r="J12" s="19">
        <f t="shared" si="0"/>
        <v>144.70119984235788</v>
      </c>
      <c r="L12" s="8">
        <f>'[4]Revenue summary'!G11</f>
        <v>5.4033009685153157</v>
      </c>
    </row>
    <row r="13" spans="2:12" ht="12">
      <c r="B13" s="11"/>
      <c r="C13" t="s">
        <v>25</v>
      </c>
      <c r="E13" s="2">
        <f>SUM(E8:E12)</f>
        <v>588.99015742357892</v>
      </c>
      <c r="F13" s="2">
        <f t="shared" ref="F13:I13" si="1">SUM(F8:F12)</f>
        <v>579.26598224815564</v>
      </c>
      <c r="G13" s="2">
        <f t="shared" si="1"/>
        <v>619.78271710049091</v>
      </c>
      <c r="H13" s="2">
        <f t="shared" si="1"/>
        <v>672.59337765370503</v>
      </c>
      <c r="I13" s="2">
        <f t="shared" si="1"/>
        <v>693.09839317303272</v>
      </c>
      <c r="J13" s="15">
        <f>SUM(E13:I13)</f>
        <v>3153.7306275989631</v>
      </c>
      <c r="L13" s="32">
        <f t="shared" ref="L13" si="2">SUM(L8:L12)</f>
        <v>308.15276635408088</v>
      </c>
    </row>
    <row r="14" spans="2:12" ht="12" outlineLevel="1">
      <c r="B14" s="11"/>
      <c r="C14" s="5" t="s">
        <v>6</v>
      </c>
      <c r="E14" s="2">
        <f>'[5]Revenue summary'!G7</f>
        <v>217.26898985819372</v>
      </c>
      <c r="F14" s="2">
        <f>'[5]Revenue summary'!H7</f>
        <v>230.94346509936179</v>
      </c>
      <c r="G14" s="2">
        <f>'[5]Revenue summary'!I7</f>
        <v>251.22145850122411</v>
      </c>
      <c r="H14" s="2">
        <f>'[5]Revenue summary'!J7</f>
        <v>268.22763289475336</v>
      </c>
      <c r="I14" s="2">
        <f>'[5]Revenue summary'!K7</f>
        <v>284.00231366833123</v>
      </c>
      <c r="J14" s="15">
        <f t="shared" ref="J14:J18" si="3">SUM(E14:I14)</f>
        <v>1251.6638600218644</v>
      </c>
      <c r="L14" s="2">
        <f>'[2]Revenue summary'!G7</f>
        <v>110.79612213888474</v>
      </c>
    </row>
    <row r="15" spans="2:12" ht="12" outlineLevel="1">
      <c r="B15" s="11"/>
      <c r="C15" s="5" t="s">
        <v>7</v>
      </c>
      <c r="E15" s="2">
        <f>'[5]Revenue summary'!G8</f>
        <v>102.9841839058931</v>
      </c>
      <c r="F15" s="2">
        <f>'[5]Revenue summary'!H8</f>
        <v>87.637980457488609</v>
      </c>
      <c r="G15" s="2">
        <f>'[5]Revenue summary'!I8</f>
        <v>92.90246421864407</v>
      </c>
      <c r="H15" s="2">
        <f>'[5]Revenue summary'!J8</f>
        <v>96.580013934734922</v>
      </c>
      <c r="I15" s="2">
        <f>'[5]Revenue summary'!K8</f>
        <v>105.57347331114936</v>
      </c>
      <c r="J15" s="15">
        <f t="shared" si="3"/>
        <v>485.67811582791006</v>
      </c>
      <c r="L15" s="2">
        <f>'[2]Revenue summary'!G8</f>
        <v>52.291136900952978</v>
      </c>
    </row>
    <row r="16" spans="2:12" ht="12" outlineLevel="1">
      <c r="B16" s="11"/>
      <c r="C16" s="5" t="s">
        <v>8</v>
      </c>
      <c r="E16" s="2">
        <f>'[5]Revenue summary'!G9</f>
        <v>230.37385201495573</v>
      </c>
      <c r="F16" s="2">
        <f>'[5]Revenue summary'!H9</f>
        <v>240.17209422204851</v>
      </c>
      <c r="G16" s="2" t="s">
        <v>26</v>
      </c>
      <c r="H16" s="2">
        <f>'[5]Revenue summary'!J9</f>
        <v>262.70388961395855</v>
      </c>
      <c r="I16" s="2">
        <f>'[5]Revenue summary'!K9</f>
        <v>289.63647003138908</v>
      </c>
      <c r="J16" s="15">
        <f t="shared" si="3"/>
        <v>1022.886305882352</v>
      </c>
      <c r="L16" s="2">
        <f>'[2]Revenue summary'!G9</f>
        <v>138.73280329634395</v>
      </c>
    </row>
    <row r="17" spans="2:12" ht="12" outlineLevel="1">
      <c r="B17" s="11"/>
      <c r="C17" s="5" t="s">
        <v>9</v>
      </c>
      <c r="E17" s="2">
        <f>'[5]Revenue summary'!G10</f>
        <v>5.317803163480348</v>
      </c>
      <c r="F17" s="2">
        <f>'[5]Revenue summary'!H10</f>
        <v>-6.3737814673015984</v>
      </c>
      <c r="G17" s="2">
        <f>'[5]Revenue summary'!I10</f>
        <v>-3.6366093231007839</v>
      </c>
      <c r="H17" s="2">
        <f>'[5]Revenue summary'!J10</f>
        <v>16.156049202765935</v>
      </c>
      <c r="I17" s="2">
        <f>'[5]Revenue summary'!K10</f>
        <v>0.112312622611709</v>
      </c>
      <c r="J17" s="15">
        <f t="shared" si="3"/>
        <v>11.57577419845561</v>
      </c>
      <c r="L17" s="2">
        <f>'[2]Revenue summary'!G10</f>
        <v>0.97789281681112783</v>
      </c>
    </row>
    <row r="18" spans="2:12" ht="12" outlineLevel="1">
      <c r="B18" s="11"/>
      <c r="C18" s="6" t="s">
        <v>10</v>
      </c>
      <c r="D18" s="7"/>
      <c r="E18" s="8">
        <f>'[5]Revenue summary'!G11</f>
        <v>33.04532848105616</v>
      </c>
      <c r="F18" s="8">
        <f>'[5]Revenue summary'!H11</f>
        <v>26.886223936558284</v>
      </c>
      <c r="G18" s="8">
        <f>'[5]Revenue summary'!I11</f>
        <v>27.540846216744018</v>
      </c>
      <c r="H18" s="8">
        <f>'[5]Revenue summary'!J11</f>
        <v>28.925792007492166</v>
      </c>
      <c r="I18" s="8">
        <f>'[5]Revenue summary'!K11</f>
        <v>28.303009200507258</v>
      </c>
      <c r="J18" s="19">
        <f t="shared" si="3"/>
        <v>144.70119984235788</v>
      </c>
      <c r="L18" s="8">
        <f>'[2]Revenue summary'!G11</f>
        <v>5.3905753044146607</v>
      </c>
    </row>
    <row r="19" spans="2:12" ht="12">
      <c r="B19" s="11"/>
      <c r="C19" s="28" t="str">
        <f>$B$2</f>
        <v>Bushfire Pass Through</v>
      </c>
      <c r="D19" s="28"/>
      <c r="E19" s="29">
        <f>SUM(E14:E18)</f>
        <v>588.99015742357892</v>
      </c>
      <c r="F19" s="29">
        <f t="shared" ref="F19" si="4">SUM(F14:F18)</f>
        <v>579.26598224815564</v>
      </c>
      <c r="G19" s="29">
        <f t="shared" ref="G19" si="5">SUM(G14:G18)</f>
        <v>368.02815961351138</v>
      </c>
      <c r="H19" s="29">
        <f t="shared" ref="H19" si="6">SUM(H14:H18)</f>
        <v>672.59337765370503</v>
      </c>
      <c r="I19" s="29">
        <f t="shared" ref="I19" si="7">SUM(I14:I18)</f>
        <v>707.62757883398876</v>
      </c>
      <c r="J19" s="20">
        <f>SUM(E19:I19)</f>
        <v>2916.5052557729396</v>
      </c>
      <c r="L19" s="37">
        <f t="shared" ref="L19" si="8">SUM(L14:L18)</f>
        <v>308.18853045740741</v>
      </c>
    </row>
    <row r="20" spans="2:12" ht="12" outlineLevel="1">
      <c r="B20" s="11"/>
      <c r="C20" s="5" t="s">
        <v>6</v>
      </c>
      <c r="E20" s="2">
        <f t="shared" ref="E20:J25" si="9">E14-E8</f>
        <v>0</v>
      </c>
      <c r="F20" s="2">
        <f t="shared" si="9"/>
        <v>0</v>
      </c>
      <c r="G20" s="2">
        <f t="shared" si="9"/>
        <v>0</v>
      </c>
      <c r="H20" s="2">
        <f t="shared" si="9"/>
        <v>0</v>
      </c>
      <c r="I20" s="2">
        <f t="shared" si="9"/>
        <v>0</v>
      </c>
      <c r="J20" s="15">
        <f t="shared" si="9"/>
        <v>0</v>
      </c>
      <c r="L20" s="2">
        <f t="shared" ref="L20" si="10">L14-L8</f>
        <v>0.18685403564272463</v>
      </c>
    </row>
    <row r="21" spans="2:12" ht="12" outlineLevel="1">
      <c r="B21" s="11"/>
      <c r="C21" s="5" t="s">
        <v>7</v>
      </c>
      <c r="E21" s="2">
        <f t="shared" si="9"/>
        <v>0</v>
      </c>
      <c r="F21" s="2">
        <f t="shared" si="9"/>
        <v>0</v>
      </c>
      <c r="G21" s="2">
        <f t="shared" si="9"/>
        <v>0</v>
      </c>
      <c r="H21" s="2">
        <f t="shared" si="9"/>
        <v>0</v>
      </c>
      <c r="I21" s="2">
        <f>I15-I9</f>
        <v>0</v>
      </c>
      <c r="J21" s="15">
        <f t="shared" si="9"/>
        <v>0</v>
      </c>
      <c r="L21" s="2">
        <f t="shared" ref="L21" si="11">L15-L9</f>
        <v>-9.0496630166292391E-2</v>
      </c>
    </row>
    <row r="22" spans="2:12" ht="12" outlineLevel="1">
      <c r="B22" s="11"/>
      <c r="C22" s="5" t="s">
        <v>8</v>
      </c>
      <c r="E22" s="2">
        <f t="shared" si="9"/>
        <v>0</v>
      </c>
      <c r="F22" s="2">
        <f t="shared" si="9"/>
        <v>0</v>
      </c>
      <c r="G22" s="2" t="e">
        <f t="shared" si="9"/>
        <v>#VALUE!</v>
      </c>
      <c r="H22" s="2">
        <f t="shared" si="9"/>
        <v>0</v>
      </c>
      <c r="I22" s="2">
        <f t="shared" si="9"/>
        <v>14.529185660956045</v>
      </c>
      <c r="J22" s="15">
        <f t="shared" si="9"/>
        <v>-237.22537182602332</v>
      </c>
      <c r="L22" s="2">
        <f t="shared" ref="L22" si="12">L16-L10</f>
        <v>-4.7867638049240213E-2</v>
      </c>
    </row>
    <row r="23" spans="2:12" ht="12" outlineLevel="1">
      <c r="B23" s="11"/>
      <c r="C23" s="5" t="s">
        <v>9</v>
      </c>
      <c r="E23" s="2">
        <f t="shared" si="9"/>
        <v>0</v>
      </c>
      <c r="F23" s="2">
        <f t="shared" si="9"/>
        <v>0</v>
      </c>
      <c r="G23" s="2">
        <f t="shared" si="9"/>
        <v>0</v>
      </c>
      <c r="H23" s="2">
        <f t="shared" si="9"/>
        <v>0</v>
      </c>
      <c r="I23" s="2">
        <f t="shared" si="9"/>
        <v>0</v>
      </c>
      <c r="J23" s="15">
        <f t="shared" si="9"/>
        <v>0</v>
      </c>
      <c r="L23" s="2">
        <f t="shared" ref="L23" si="13">L17-L11</f>
        <v>0</v>
      </c>
    </row>
    <row r="24" spans="2:12" ht="12" outlineLevel="1">
      <c r="B24" s="11"/>
      <c r="C24" s="6" t="s">
        <v>10</v>
      </c>
      <c r="D24" s="7"/>
      <c r="E24" s="8">
        <f t="shared" si="9"/>
        <v>0</v>
      </c>
      <c r="F24" s="8">
        <f t="shared" si="9"/>
        <v>0</v>
      </c>
      <c r="G24" s="8">
        <f t="shared" si="9"/>
        <v>0</v>
      </c>
      <c r="H24" s="8">
        <f t="shared" si="9"/>
        <v>0</v>
      </c>
      <c r="I24" s="8">
        <f t="shared" si="9"/>
        <v>0</v>
      </c>
      <c r="J24" s="19">
        <f t="shared" si="9"/>
        <v>0</v>
      </c>
      <c r="L24" s="8">
        <f t="shared" ref="L24" si="14">L18-L12</f>
        <v>-1.272566410065501E-2</v>
      </c>
    </row>
    <row r="25" spans="2:12" ht="12">
      <c r="B25" s="11"/>
      <c r="C25" s="30" t="s">
        <v>27</v>
      </c>
      <c r="D25" s="30"/>
      <c r="E25" s="31">
        <f>E19-E13</f>
        <v>0</v>
      </c>
      <c r="F25" s="31">
        <f t="shared" si="9"/>
        <v>0</v>
      </c>
      <c r="G25" s="31">
        <f t="shared" si="9"/>
        <v>-251.75455748697954</v>
      </c>
      <c r="H25" s="31">
        <f t="shared" si="9"/>
        <v>0</v>
      </c>
      <c r="I25" s="31">
        <f t="shared" si="9"/>
        <v>14.529185660956045</v>
      </c>
      <c r="J25" s="36">
        <f t="shared" si="9"/>
        <v>-237.22537182602355</v>
      </c>
      <c r="L25" s="36">
        <f t="shared" ref="L25" si="15">L19-L13</f>
        <v>3.5764103326528129E-2</v>
      </c>
    </row>
    <row r="26" spans="2:12">
      <c r="E26" s="2"/>
      <c r="F26" s="2"/>
      <c r="G26" s="2"/>
      <c r="H26" s="2"/>
      <c r="I26" s="2"/>
      <c r="J26" s="3"/>
    </row>
    <row r="27" spans="2:12">
      <c r="B27" s="1" t="s">
        <v>28</v>
      </c>
      <c r="E27" s="2"/>
      <c r="F27" s="2"/>
      <c r="G27" s="2"/>
      <c r="H27" s="2"/>
      <c r="I27" s="2"/>
      <c r="J27" s="15"/>
      <c r="L27" s="25" t="s">
        <v>29</v>
      </c>
    </row>
    <row r="28" spans="2:12" ht="5.0999999999999996" customHeight="1">
      <c r="B28" s="11"/>
      <c r="E28" s="2"/>
      <c r="F28" s="2"/>
      <c r="G28" s="2"/>
      <c r="H28" s="2"/>
      <c r="I28" s="2"/>
      <c r="J28" s="15"/>
    </row>
    <row r="29" spans="2:12" ht="12" outlineLevel="1">
      <c r="B29" s="11"/>
      <c r="C29" s="5" t="s">
        <v>6</v>
      </c>
      <c r="E29" s="2">
        <f>'[3]Revenue summary'!G30</f>
        <v>212.28144318597884</v>
      </c>
      <c r="F29" s="2">
        <f>'[3]Revenue summary'!H30</f>
        <v>220.46225754417264</v>
      </c>
      <c r="G29" s="2">
        <f>'[3]Revenue summary'!I30</f>
        <v>234.31473025919058</v>
      </c>
      <c r="H29" s="2">
        <f>'[3]Revenue summary'!J30</f>
        <v>244.43346381944519</v>
      </c>
      <c r="I29" s="2">
        <f>'[3]Revenue summary'!K30</f>
        <v>252.86767156189876</v>
      </c>
      <c r="J29" s="15">
        <f t="shared" ref="J29:J33" si="16">SUM(E29:I29)</f>
        <v>1164.359566370686</v>
      </c>
      <c r="L29" s="2">
        <f>'[4]Revenue summary'!G30</f>
        <v>109.33234466243594</v>
      </c>
    </row>
    <row r="30" spans="2:12" ht="12" outlineLevel="1">
      <c r="B30" s="11"/>
      <c r="C30" s="5" t="s">
        <v>7</v>
      </c>
      <c r="E30" s="2">
        <f>'[3]Revenue summary'!G31</f>
        <v>100.6201170224145</v>
      </c>
      <c r="F30" s="2">
        <f>'[3]Revenue summary'!H31</f>
        <v>83.66059204124852</v>
      </c>
      <c r="G30" s="2">
        <f>'[3]Revenue summary'!I31</f>
        <v>86.650304371589428</v>
      </c>
      <c r="H30" s="2">
        <f>'[3]Revenue summary'!J31</f>
        <v>88.012510445038913</v>
      </c>
      <c r="I30" s="2">
        <f>'[3]Revenue summary'!K31</f>
        <v>93.999651024214373</v>
      </c>
      <c r="J30" s="15">
        <f t="shared" si="16"/>
        <v>452.94317490450572</v>
      </c>
      <c r="L30" s="2">
        <f>'[4]Revenue summary'!G31</f>
        <v>51.776916251359609</v>
      </c>
    </row>
    <row r="31" spans="2:12" ht="12" outlineLevel="1">
      <c r="B31" s="11"/>
      <c r="C31" s="5" t="s">
        <v>8</v>
      </c>
      <c r="E31" s="2">
        <f>'[3]Revenue summary'!G32</f>
        <v>225.08547496799454</v>
      </c>
      <c r="F31" s="2">
        <f>'[3]Revenue summary'!H32</f>
        <v>229.27205179208548</v>
      </c>
      <c r="G31" s="2">
        <f>'[3]Revenue summary'!I32</f>
        <v>234.81195269310982</v>
      </c>
      <c r="H31" s="2">
        <f>'[3]Revenue summary'!J32</f>
        <v>239.3997255397511</v>
      </c>
      <c r="I31" s="2">
        <f>'[3]Revenue summary'!K32</f>
        <v>244.94778767792039</v>
      </c>
      <c r="J31" s="15">
        <f t="shared" si="16"/>
        <v>1173.5169926708613</v>
      </c>
      <c r="L31" s="2">
        <f>'[4]Revenue summary'!G32</f>
        <v>137.17852407196651</v>
      </c>
    </row>
    <row r="32" spans="2:12" ht="12" outlineLevel="1">
      <c r="B32" s="11"/>
      <c r="C32" s="5" t="s">
        <v>9</v>
      </c>
      <c r="E32" s="2">
        <f>'[3]Revenue summary'!G33</f>
        <v>5.1957296384512084</v>
      </c>
      <c r="F32" s="2">
        <f>'[3]Revenue summary'!H33</f>
        <v>-6.0845118556177882</v>
      </c>
      <c r="G32" s="2">
        <f>'[3]Revenue summary'!I33</f>
        <v>-3.3918724048657087</v>
      </c>
      <c r="H32" s="2">
        <f>'[3]Revenue summary'!J33</f>
        <v>14.722864403083316</v>
      </c>
      <c r="I32" s="2">
        <f>'[3]Revenue summary'!K33</f>
        <v>9.9999999999999978E-2</v>
      </c>
      <c r="J32" s="15">
        <f t="shared" si="16"/>
        <v>10.542209781051026</v>
      </c>
      <c r="L32" s="2">
        <f>'[4]Revenue summary'!G33</f>
        <v>0.96660357964506605</v>
      </c>
    </row>
    <row r="33" spans="2:12" ht="12" outlineLevel="1">
      <c r="B33" s="11"/>
      <c r="C33" s="6" t="s">
        <v>10</v>
      </c>
      <c r="D33" s="7"/>
      <c r="E33" s="8">
        <f>'[3]Revenue summary'!G34</f>
        <v>32.286752127359712</v>
      </c>
      <c r="F33" s="8">
        <f>'[3]Revenue summary'!H34</f>
        <v>25.666011477491217</v>
      </c>
      <c r="G33" s="8">
        <f>'[3]Revenue summary'!I34</f>
        <v>25.687399439864251</v>
      </c>
      <c r="H33" s="8">
        <f>'[3]Revenue summary'!J34</f>
        <v>26.35981780775889</v>
      </c>
      <c r="I33" s="8">
        <f>'[3]Revenue summary'!K34</f>
        <v>25.200203273996525</v>
      </c>
      <c r="J33" s="19">
        <f t="shared" si="16"/>
        <v>135.20018412647059</v>
      </c>
      <c r="L33" s="8">
        <f>'[4]Revenue summary'!G34</f>
        <v>5.3409228171836629</v>
      </c>
    </row>
    <row r="34" spans="2:12" ht="12">
      <c r="B34" s="11"/>
      <c r="C34" t="s">
        <v>25</v>
      </c>
      <c r="E34" s="2">
        <f>SUM(E29:E33)</f>
        <v>575.46951694219877</v>
      </c>
      <c r="F34" s="2">
        <f t="shared" ref="F34" si="17">SUM(F29:F33)</f>
        <v>552.97640099938008</v>
      </c>
      <c r="G34" s="2">
        <f t="shared" ref="G34" si="18">SUM(G29:G33)</f>
        <v>578.07251435888838</v>
      </c>
      <c r="H34" s="2">
        <f t="shared" ref="H34" si="19">SUM(H29:H33)</f>
        <v>612.92838201507743</v>
      </c>
      <c r="I34" s="2">
        <f t="shared" ref="I34" si="20">SUM(I29:I33)</f>
        <v>617.11531353803002</v>
      </c>
      <c r="J34" s="15">
        <f>SUM(E34:I34)</f>
        <v>2936.5621278535746</v>
      </c>
      <c r="L34" s="32">
        <f t="shared" ref="L34" si="21">SUM(L29:L33)</f>
        <v>304.59531138259075</v>
      </c>
    </row>
    <row r="35" spans="2:12" ht="12" outlineLevel="1">
      <c r="B35" s="11"/>
      <c r="C35" s="5" t="s">
        <v>6</v>
      </c>
      <c r="E35" s="2">
        <f>'[5]Revenue summary'!G30</f>
        <v>212.28144318597884</v>
      </c>
      <c r="F35" s="2">
        <f>'[5]Revenue summary'!H30</f>
        <v>220.46225754417264</v>
      </c>
      <c r="G35" s="2">
        <f>'[5]Revenue summary'!I30</f>
        <v>234.31473025919058</v>
      </c>
      <c r="H35" s="2">
        <f>'[5]Revenue summary'!J30</f>
        <v>244.43346381944519</v>
      </c>
      <c r="I35" s="2">
        <f>'[5]Revenue summary'!K30</f>
        <v>252.86767156189876</v>
      </c>
      <c r="J35" s="15">
        <f t="shared" ref="J35:J39" si="22">SUM(E35:I35)</f>
        <v>1164.359566370686</v>
      </c>
      <c r="L35" s="2">
        <f>'[2]Revenue summary'!G30</f>
        <v>109.51704157054122</v>
      </c>
    </row>
    <row r="36" spans="2:12" ht="12" outlineLevel="1">
      <c r="B36" s="11"/>
      <c r="C36" s="5" t="s">
        <v>7</v>
      </c>
      <c r="E36" s="2">
        <f>'[5]Revenue summary'!G31</f>
        <v>100.6201170224145</v>
      </c>
      <c r="F36" s="2">
        <f>'[5]Revenue summary'!H31</f>
        <v>83.66059204124852</v>
      </c>
      <c r="G36" s="2">
        <f>'[5]Revenue summary'!I31</f>
        <v>86.650304371589428</v>
      </c>
      <c r="H36" s="2">
        <f>'[5]Revenue summary'!J31</f>
        <v>88.012510445038913</v>
      </c>
      <c r="I36" s="2">
        <f>'[5]Revenue summary'!K31</f>
        <v>93.999651024214373</v>
      </c>
      <c r="J36" s="15">
        <f t="shared" si="22"/>
        <v>452.94317490450572</v>
      </c>
      <c r="L36" s="2">
        <f>'[2]Revenue summary'!G31</f>
        <v>51.687464355240969</v>
      </c>
    </row>
    <row r="37" spans="2:12" ht="12" outlineLevel="1">
      <c r="B37" s="11"/>
      <c r="C37" s="5" t="s">
        <v>8</v>
      </c>
      <c r="E37" s="2">
        <f>'[5]Revenue summary'!G32</f>
        <v>225.08547496799454</v>
      </c>
      <c r="F37" s="2">
        <f>'[5]Revenue summary'!H32</f>
        <v>229.27205179208548</v>
      </c>
      <c r="G37" s="2">
        <f>'[5]Revenue summary'!I32</f>
        <v>234.81195269310982</v>
      </c>
      <c r="H37" s="2">
        <f>'[5]Revenue summary'!J32</f>
        <v>239.3997255397511</v>
      </c>
      <c r="I37" s="2">
        <f>'[5]Revenue summary'!K32</f>
        <v>257.88416590780719</v>
      </c>
      <c r="J37" s="15">
        <f t="shared" si="22"/>
        <v>1186.4533709007483</v>
      </c>
      <c r="L37" s="2">
        <f>'[2]Revenue summary'!G32</f>
        <v>137.13120903959063</v>
      </c>
    </row>
    <row r="38" spans="2:12" ht="12" outlineLevel="1">
      <c r="B38" s="11"/>
      <c r="C38" s="5" t="s">
        <v>9</v>
      </c>
      <c r="E38" s="2">
        <f>'[5]Revenue summary'!G33</f>
        <v>5.1957296384512084</v>
      </c>
      <c r="F38" s="2">
        <f>'[5]Revenue summary'!H33</f>
        <v>-6.0845118556177882</v>
      </c>
      <c r="G38" s="2">
        <f>'[5]Revenue summary'!I33</f>
        <v>-3.3918724048657087</v>
      </c>
      <c r="H38" s="2">
        <f>'[5]Revenue summary'!J33</f>
        <v>14.722864403083316</v>
      </c>
      <c r="I38" s="2">
        <f>'[5]Revenue summary'!K33</f>
        <v>9.9999999999999978E-2</v>
      </c>
      <c r="J38" s="15">
        <f t="shared" si="22"/>
        <v>10.542209781051026</v>
      </c>
      <c r="L38" s="2">
        <f>'[2]Revenue summary'!G33</f>
        <v>0.96660357964506605</v>
      </c>
    </row>
    <row r="39" spans="2:12" ht="12" outlineLevel="1">
      <c r="B39" s="11"/>
      <c r="C39" s="6" t="s">
        <v>10</v>
      </c>
      <c r="D39" s="7"/>
      <c r="E39" s="8">
        <f>'[5]Revenue summary'!G34</f>
        <v>32.286752127359712</v>
      </c>
      <c r="F39" s="8">
        <f>'[5]Revenue summary'!H34</f>
        <v>25.666011477491217</v>
      </c>
      <c r="G39" s="8">
        <f>'[5]Revenue summary'!I34</f>
        <v>25.687399439864251</v>
      </c>
      <c r="H39" s="8">
        <f>'[5]Revenue summary'!J34</f>
        <v>26.35981780775889</v>
      </c>
      <c r="I39" s="8">
        <f>'[5]Revenue summary'!K34</f>
        <v>25.200203273996525</v>
      </c>
      <c r="J39" s="19">
        <f t="shared" si="22"/>
        <v>135.20018412647059</v>
      </c>
      <c r="L39" s="8">
        <f>'[2]Revenue summary'!G34</f>
        <v>5.3283440639076485</v>
      </c>
    </row>
    <row r="40" spans="2:12" ht="12">
      <c r="B40" s="11"/>
      <c r="C40" s="28" t="str">
        <f>$B$2&amp;" Scenario"</f>
        <v>Bushfire Pass Through Scenario</v>
      </c>
      <c r="D40" s="28"/>
      <c r="E40" s="29">
        <f>SUM(E35:E39)</f>
        <v>575.46951694219877</v>
      </c>
      <c r="F40" s="29">
        <f t="shared" ref="F40" si="23">SUM(F35:F39)</f>
        <v>552.97640099938008</v>
      </c>
      <c r="G40" s="29">
        <f t="shared" ref="G40" si="24">SUM(G35:G39)</f>
        <v>578.07251435888838</v>
      </c>
      <c r="H40" s="29">
        <f t="shared" ref="H40" si="25">SUM(H35:H39)</f>
        <v>612.92838201507743</v>
      </c>
      <c r="I40" s="29">
        <f t="shared" ref="I40" si="26">SUM(I35:I39)</f>
        <v>630.05169176791685</v>
      </c>
      <c r="J40" s="20">
        <f>SUM(E40:I40)</f>
        <v>2949.4985060834615</v>
      </c>
      <c r="L40" s="37">
        <f t="shared" ref="L40" si="27">SUM(L35:L39)</f>
        <v>304.63066260892555</v>
      </c>
    </row>
    <row r="41" spans="2:12" s="13" customFormat="1" ht="12" outlineLevel="1">
      <c r="B41" s="11"/>
      <c r="C41" s="12" t="s">
        <v>6</v>
      </c>
      <c r="E41" s="14">
        <f t="shared" ref="E41:J46" si="28">E35-E29</f>
        <v>0</v>
      </c>
      <c r="F41" s="14">
        <f t="shared" si="28"/>
        <v>0</v>
      </c>
      <c r="G41" s="14">
        <f t="shared" si="28"/>
        <v>0</v>
      </c>
      <c r="H41" s="14">
        <f t="shared" si="28"/>
        <v>0</v>
      </c>
      <c r="I41" s="14">
        <f t="shared" si="28"/>
        <v>0</v>
      </c>
      <c r="J41" s="15">
        <f t="shared" si="28"/>
        <v>0</v>
      </c>
      <c r="L41" s="14">
        <f t="shared" ref="L41" si="29">L35-L29</f>
        <v>0.1846969081052805</v>
      </c>
    </row>
    <row r="42" spans="2:12" s="13" customFormat="1" ht="12" outlineLevel="1">
      <c r="B42" s="11"/>
      <c r="C42" s="12" t="s">
        <v>7</v>
      </c>
      <c r="E42" s="14">
        <f t="shared" si="28"/>
        <v>0</v>
      </c>
      <c r="F42" s="14">
        <f t="shared" si="28"/>
        <v>0</v>
      </c>
      <c r="G42" s="14">
        <f t="shared" si="28"/>
        <v>0</v>
      </c>
      <c r="H42" s="14">
        <f t="shared" si="28"/>
        <v>0</v>
      </c>
      <c r="I42" s="14">
        <f t="shared" si="28"/>
        <v>0</v>
      </c>
      <c r="J42" s="15">
        <f t="shared" si="28"/>
        <v>0</v>
      </c>
      <c r="L42" s="14">
        <f t="shared" ref="L42" si="30">L36-L30</f>
        <v>-8.945189611863924E-2</v>
      </c>
    </row>
    <row r="43" spans="2:12" s="13" customFormat="1" ht="12" outlineLevel="1">
      <c r="B43" s="11"/>
      <c r="C43" s="12" t="s">
        <v>8</v>
      </c>
      <c r="E43" s="14">
        <f t="shared" si="28"/>
        <v>0</v>
      </c>
      <c r="F43" s="14">
        <f t="shared" si="28"/>
        <v>0</v>
      </c>
      <c r="G43" s="14">
        <f t="shared" si="28"/>
        <v>0</v>
      </c>
      <c r="H43" s="14">
        <f t="shared" si="28"/>
        <v>0</v>
      </c>
      <c r="I43" s="14">
        <f t="shared" si="28"/>
        <v>12.936378229886799</v>
      </c>
      <c r="J43" s="15">
        <f t="shared" si="28"/>
        <v>12.936378229886941</v>
      </c>
      <c r="L43" s="14">
        <f t="shared" ref="L43" si="31">L37-L31</f>
        <v>-4.7315032375877308E-2</v>
      </c>
    </row>
    <row r="44" spans="2:12" s="13" customFormat="1" ht="12" outlineLevel="1">
      <c r="B44" s="11"/>
      <c r="C44" s="12" t="s">
        <v>9</v>
      </c>
      <c r="E44" s="14">
        <f t="shared" si="28"/>
        <v>0</v>
      </c>
      <c r="F44" s="14">
        <f t="shared" si="28"/>
        <v>0</v>
      </c>
      <c r="G44" s="14">
        <f t="shared" si="28"/>
        <v>0</v>
      </c>
      <c r="H44" s="14">
        <f t="shared" si="28"/>
        <v>0</v>
      </c>
      <c r="I44" s="14">
        <f t="shared" si="28"/>
        <v>0</v>
      </c>
      <c r="J44" s="15">
        <f t="shared" si="28"/>
        <v>0</v>
      </c>
      <c r="L44" s="14">
        <f t="shared" ref="L44" si="32">L38-L32</f>
        <v>0</v>
      </c>
    </row>
    <row r="45" spans="2:12" s="13" customFormat="1" ht="12" outlineLevel="1">
      <c r="B45" s="11"/>
      <c r="C45" s="16" t="s">
        <v>10</v>
      </c>
      <c r="D45" s="17"/>
      <c r="E45" s="18">
        <f t="shared" si="28"/>
        <v>0</v>
      </c>
      <c r="F45" s="18">
        <f t="shared" si="28"/>
        <v>0</v>
      </c>
      <c r="G45" s="18">
        <f t="shared" si="28"/>
        <v>0</v>
      </c>
      <c r="H45" s="18">
        <f t="shared" si="28"/>
        <v>0</v>
      </c>
      <c r="I45" s="18">
        <f t="shared" si="28"/>
        <v>0</v>
      </c>
      <c r="J45" s="19">
        <f t="shared" si="28"/>
        <v>0</v>
      </c>
      <c r="L45" s="18">
        <f t="shared" ref="L45" si="33">L39-L33</f>
        <v>-1.2578753276014432E-2</v>
      </c>
    </row>
    <row r="46" spans="2:12" ht="12">
      <c r="B46" s="11"/>
      <c r="C46" s="30" t="s">
        <v>27</v>
      </c>
      <c r="D46" s="30"/>
      <c r="E46" s="31">
        <f>E40-E34</f>
        <v>0</v>
      </c>
      <c r="F46" s="31">
        <f t="shared" si="28"/>
        <v>0</v>
      </c>
      <c r="G46" s="31">
        <f t="shared" si="28"/>
        <v>0</v>
      </c>
      <c r="H46" s="31">
        <f t="shared" si="28"/>
        <v>0</v>
      </c>
      <c r="I46" s="31">
        <f t="shared" si="28"/>
        <v>12.936378229886827</v>
      </c>
      <c r="J46" s="36">
        <f t="shared" si="28"/>
        <v>12.936378229886941</v>
      </c>
      <c r="L46" s="36">
        <f t="shared" ref="L46" si="34">L40-L34</f>
        <v>3.5351226334796593E-2</v>
      </c>
    </row>
    <row r="47" spans="2:12">
      <c r="E47" s="2"/>
      <c r="F47" s="2"/>
      <c r="G47" s="2"/>
      <c r="H47" s="2"/>
      <c r="I47" s="2"/>
      <c r="J47" s="15"/>
    </row>
    <row r="48" spans="2:12" ht="15.75" thickBot="1">
      <c r="B48" s="9"/>
      <c r="C48" s="10"/>
      <c r="D48" s="10"/>
      <c r="E48" s="10"/>
      <c r="F48" s="10"/>
      <c r="G48" s="10"/>
      <c r="H48" s="10"/>
      <c r="I48" s="10"/>
      <c r="J48" s="9"/>
      <c r="K48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FAE6-81E0-480E-AD4A-9C4CE1D3C0DD}">
  <dimension ref="B1:V21"/>
  <sheetViews>
    <sheetView workbookViewId="0">
      <selection activeCell="O19" sqref="O19"/>
    </sheetView>
  </sheetViews>
  <sheetFormatPr defaultColWidth="8.85546875" defaultRowHeight="12" outlineLevelCol="1"/>
  <cols>
    <col min="1" max="1" width="4.7109375" style="42" customWidth="1"/>
    <col min="2" max="2" width="5.28515625" style="42" customWidth="1"/>
    <col min="3" max="3" width="48.7109375" style="42" customWidth="1"/>
    <col min="4" max="10" width="8.5703125" style="42" hidden="1" customWidth="1" outlineLevel="1"/>
    <col min="11" max="11" width="8.5703125" style="42" customWidth="1" collapsed="1"/>
    <col min="12" max="16" width="8.5703125" style="42" customWidth="1"/>
    <col min="17" max="17" width="9" style="42" customWidth="1"/>
    <col min="18" max="22" width="8.5703125" style="42" customWidth="1"/>
    <col min="23" max="16384" width="8.85546875" style="42"/>
  </cols>
  <sheetData>
    <row r="1" spans="2:22" ht="20.25">
      <c r="B1" s="41" t="s">
        <v>30</v>
      </c>
    </row>
    <row r="2" spans="2:22" ht="12.75">
      <c r="B2" s="43" t="s">
        <v>31</v>
      </c>
    </row>
    <row r="4" spans="2:22" ht="15">
      <c r="B4" s="44" t="s">
        <v>32</v>
      </c>
    </row>
    <row r="5" spans="2:22" ht="15">
      <c r="B5" s="44"/>
      <c r="L5" s="45"/>
    </row>
    <row r="6" spans="2:22" ht="15">
      <c r="B6" s="44"/>
      <c r="C6" s="46" t="s">
        <v>33</v>
      </c>
      <c r="D6" s="47">
        <v>39721</v>
      </c>
      <c r="E6" s="47">
        <f>EDATE(D6,12)</f>
        <v>40086</v>
      </c>
      <c r="F6" s="47">
        <f t="shared" ref="F6:I6" si="0">EDATE(E6,12)</f>
        <v>40451</v>
      </c>
      <c r="G6" s="47">
        <f t="shared" si="0"/>
        <v>40816</v>
      </c>
      <c r="H6" s="47">
        <f t="shared" si="0"/>
        <v>41182</v>
      </c>
      <c r="I6" s="47">
        <f t="shared" si="0"/>
        <v>41547</v>
      </c>
      <c r="J6" s="47">
        <v>41912</v>
      </c>
      <c r="K6" s="47">
        <v>42156</v>
      </c>
      <c r="L6" s="47">
        <f>EDATE(K6,12)</f>
        <v>42522</v>
      </c>
      <c r="M6" s="47">
        <f t="shared" ref="M6:O6" si="1">EDATE(L6,12)</f>
        <v>42887</v>
      </c>
      <c r="N6" s="47">
        <f t="shared" si="1"/>
        <v>43252</v>
      </c>
      <c r="O6" s="47">
        <f t="shared" si="1"/>
        <v>43617</v>
      </c>
      <c r="P6" s="48">
        <v>43831</v>
      </c>
      <c r="Q6" s="47">
        <f>EDATE(O6,12)</f>
        <v>43983</v>
      </c>
      <c r="R6" s="47">
        <f t="shared" ref="R6:V6" si="2">EDATE(Q6,12)</f>
        <v>44348</v>
      </c>
      <c r="S6" s="47">
        <f t="shared" si="2"/>
        <v>44713</v>
      </c>
      <c r="T6" s="47">
        <f t="shared" si="2"/>
        <v>45078</v>
      </c>
      <c r="U6" s="47">
        <f t="shared" si="2"/>
        <v>45444</v>
      </c>
      <c r="V6" s="47">
        <f t="shared" si="2"/>
        <v>45809</v>
      </c>
    </row>
    <row r="7" spans="2:22" ht="15">
      <c r="B7" s="44"/>
      <c r="C7" s="46"/>
      <c r="D7" s="47" t="s">
        <v>34</v>
      </c>
      <c r="E7" s="47" t="s">
        <v>34</v>
      </c>
      <c r="F7" s="47" t="s">
        <v>34</v>
      </c>
      <c r="G7" s="47" t="s">
        <v>34</v>
      </c>
      <c r="H7" s="47" t="s">
        <v>34</v>
      </c>
      <c r="I7" s="47" t="s">
        <v>34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35</v>
      </c>
      <c r="Q7" s="47" t="s">
        <v>35</v>
      </c>
      <c r="R7" s="47" t="s">
        <v>35</v>
      </c>
      <c r="S7" s="47" t="s">
        <v>35</v>
      </c>
      <c r="T7" s="47" t="s">
        <v>35</v>
      </c>
      <c r="U7" s="47" t="s">
        <v>35</v>
      </c>
      <c r="V7" s="47" t="s">
        <v>35</v>
      </c>
    </row>
    <row r="8" spans="2:22" ht="15">
      <c r="B8" s="44"/>
      <c r="C8" s="46" t="s">
        <v>36</v>
      </c>
      <c r="D8" s="49">
        <v>2009</v>
      </c>
      <c r="E8" s="49">
        <v>2010</v>
      </c>
      <c r="F8" s="49">
        <v>2011</v>
      </c>
      <c r="G8" s="49">
        <v>2012</v>
      </c>
      <c r="H8" s="49">
        <v>2013</v>
      </c>
      <c r="I8" s="49">
        <v>2014</v>
      </c>
      <c r="J8" s="49">
        <v>2015</v>
      </c>
      <c r="K8" s="49">
        <v>2016</v>
      </c>
      <c r="L8" s="49">
        <v>2017</v>
      </c>
      <c r="M8" s="49">
        <v>2018</v>
      </c>
      <c r="N8" s="49">
        <v>2019</v>
      </c>
      <c r="O8" s="49">
        <v>2020</v>
      </c>
      <c r="P8" s="64" t="s">
        <v>37</v>
      </c>
      <c r="Q8" s="49">
        <v>2021</v>
      </c>
      <c r="R8" s="49">
        <v>2022</v>
      </c>
      <c r="S8" s="49">
        <v>2023</v>
      </c>
      <c r="T8" s="49">
        <v>2024</v>
      </c>
      <c r="U8" s="49">
        <v>2025</v>
      </c>
      <c r="V8" s="49">
        <v>2026</v>
      </c>
    </row>
    <row r="9" spans="2:22" ht="15">
      <c r="B9" s="44"/>
      <c r="C9" s="46" t="s">
        <v>38</v>
      </c>
      <c r="D9" s="50"/>
      <c r="E9" s="50"/>
      <c r="F9" s="50"/>
      <c r="G9" s="51"/>
      <c r="H9" s="51"/>
      <c r="I9" s="51"/>
      <c r="J9" s="51"/>
      <c r="K9" s="52">
        <v>107.5</v>
      </c>
      <c r="L9" s="53">
        <v>108.6</v>
      </c>
      <c r="M9" s="53">
        <v>110.7</v>
      </c>
      <c r="N9" s="53">
        <v>113</v>
      </c>
      <c r="O9" s="53">
        <v>114.8</v>
      </c>
      <c r="P9" s="53">
        <f>(1+Q10)^0.5*O9</f>
        <v>115.94231669239666</v>
      </c>
      <c r="Q9" s="53">
        <v>117.096</v>
      </c>
      <c r="R9" s="53">
        <f>Q9*(1+R10)</f>
        <v>119.96485199999999</v>
      </c>
      <c r="S9" s="53">
        <f>R9*(1+S10)</f>
        <v>122.90399087399999</v>
      </c>
      <c r="T9" s="53">
        <f>S9*(1+T10)</f>
        <v>125.91513865041298</v>
      </c>
      <c r="U9" s="53">
        <f>T9*(1+U10)</f>
        <v>129.00005954734809</v>
      </c>
      <c r="V9" s="53">
        <f>U9*(1+V10)</f>
        <v>132.16056100625812</v>
      </c>
    </row>
    <row r="10" spans="2:22" ht="15">
      <c r="B10" s="44"/>
      <c r="C10" s="46" t="s">
        <v>39</v>
      </c>
      <c r="D10" s="54"/>
      <c r="E10" s="54"/>
      <c r="F10" s="54"/>
      <c r="G10" s="54"/>
      <c r="H10" s="54"/>
      <c r="I10" s="54"/>
      <c r="J10" s="54"/>
      <c r="K10" s="55">
        <f>K9/105.9-1</f>
        <v>1.5108593012275628E-2</v>
      </c>
      <c r="L10" s="55">
        <f>L9/K9-1</f>
        <v>1.0232558139534831E-2</v>
      </c>
      <c r="M10" s="55">
        <f>M9/L9-1</f>
        <v>1.9337016574585641E-2</v>
      </c>
      <c r="N10" s="55">
        <f>N9/M9-1</f>
        <v>2.0776874435411097E-2</v>
      </c>
      <c r="O10" s="55">
        <f>O9/N9-1</f>
        <v>1.5929203539823078E-2</v>
      </c>
      <c r="P10" s="56">
        <f>P9/O9-1</f>
        <v>9.9504938362078299E-3</v>
      </c>
      <c r="Q10" s="56">
        <f>Q9/O9-1</f>
        <v>2.0000000000000018E-2</v>
      </c>
      <c r="R10" s="57">
        <v>2.4500000000000001E-2</v>
      </c>
      <c r="S10" s="57">
        <v>2.4500000000000001E-2</v>
      </c>
      <c r="T10" s="57">
        <v>2.4500000000000001E-2</v>
      </c>
      <c r="U10" s="57">
        <v>2.4500000000000001E-2</v>
      </c>
      <c r="V10" s="57">
        <v>2.4500000000000001E-2</v>
      </c>
    </row>
    <row r="11" spans="2:22" ht="15">
      <c r="B11" s="44"/>
      <c r="C11" s="46" t="s">
        <v>40</v>
      </c>
      <c r="D11" s="54"/>
      <c r="E11" s="54"/>
      <c r="F11" s="54"/>
      <c r="G11" s="54"/>
      <c r="H11" s="54"/>
      <c r="I11" s="58"/>
      <c r="J11" s="58">
        <v>1</v>
      </c>
      <c r="K11" s="59">
        <f>J11*(1+K10)</f>
        <v>1.0151085930122756</v>
      </c>
      <c r="L11" s="59">
        <f t="shared" ref="L11:V11" si="3">K11*(1+L10)</f>
        <v>1.0254957507082152</v>
      </c>
      <c r="M11" s="59">
        <f t="shared" si="3"/>
        <v>1.0453257790368271</v>
      </c>
      <c r="N11" s="59">
        <f t="shared" si="3"/>
        <v>1.0670443814919734</v>
      </c>
      <c r="O11" s="59">
        <f t="shared" si="3"/>
        <v>1.0840415486307837</v>
      </c>
      <c r="P11" s="59">
        <f t="shared" si="3"/>
        <v>1.0948282973786276</v>
      </c>
      <c r="Q11" s="59">
        <f t="shared" si="3"/>
        <v>1.1167248633262001</v>
      </c>
      <c r="R11" s="59">
        <f t="shared" si="3"/>
        <v>1.1440846224776919</v>
      </c>
      <c r="S11" s="59">
        <f t="shared" si="3"/>
        <v>1.1721146957283954</v>
      </c>
      <c r="T11" s="59">
        <f t="shared" si="3"/>
        <v>1.2008315057737411</v>
      </c>
      <c r="U11" s="59">
        <f t="shared" si="3"/>
        <v>1.2302518776651976</v>
      </c>
      <c r="V11" s="59">
        <f t="shared" si="3"/>
        <v>1.2603930486679948</v>
      </c>
    </row>
    <row r="12" spans="2:22" ht="15">
      <c r="B12" s="44"/>
      <c r="C12" s="46" t="s">
        <v>41</v>
      </c>
      <c r="D12" s="54"/>
      <c r="E12" s="54"/>
      <c r="F12" s="54"/>
      <c r="G12" s="59"/>
      <c r="H12" s="59"/>
      <c r="I12" s="59"/>
      <c r="J12" s="59"/>
      <c r="K12" s="59"/>
      <c r="L12" s="59"/>
      <c r="M12" s="59">
        <v>1</v>
      </c>
      <c r="N12" s="59">
        <f>M12*(1+N10)</f>
        <v>1.0207768744354111</v>
      </c>
      <c r="O12" s="59">
        <f t="shared" ref="O12:V12" si="4">N12*(1+O10)</f>
        <v>1.0370370370370372</v>
      </c>
      <c r="P12" s="59">
        <f t="shared" si="4"/>
        <v>1.0473560676819935</v>
      </c>
      <c r="Q12" s="59">
        <f>O12*(1+Q10)</f>
        <v>1.0577777777777779</v>
      </c>
      <c r="R12" s="59">
        <f t="shared" si="4"/>
        <v>1.0836933333333334</v>
      </c>
      <c r="S12" s="59">
        <f t="shared" si="4"/>
        <v>1.11024382</v>
      </c>
      <c r="T12" s="59">
        <f t="shared" si="4"/>
        <v>1.1374447935900001</v>
      </c>
      <c r="U12" s="59">
        <f t="shared" si="4"/>
        <v>1.1653121910329549</v>
      </c>
      <c r="V12" s="59">
        <f t="shared" si="4"/>
        <v>1.1938623397132622</v>
      </c>
    </row>
    <row r="13" spans="2:22" ht="15">
      <c r="B13" s="44"/>
      <c r="C13" s="46" t="s">
        <v>42</v>
      </c>
      <c r="D13" s="54"/>
      <c r="E13" s="54"/>
      <c r="F13" s="54"/>
      <c r="G13" s="59"/>
      <c r="H13" s="59"/>
      <c r="I13" s="59"/>
      <c r="J13" s="59"/>
      <c r="K13" s="59"/>
      <c r="L13" s="59"/>
      <c r="M13" s="59"/>
      <c r="N13" s="59"/>
      <c r="O13" s="59">
        <v>1</v>
      </c>
      <c r="P13" s="60">
        <f>P9/$O$9</f>
        <v>1.0099504938362078</v>
      </c>
      <c r="Q13" s="60">
        <f t="shared" ref="Q13:V13" si="5">Q9/$O$9</f>
        <v>1.02</v>
      </c>
      <c r="R13" s="58">
        <f t="shared" si="5"/>
        <v>1.0449899999999999</v>
      </c>
      <c r="S13" s="58">
        <f t="shared" si="5"/>
        <v>1.070592255</v>
      </c>
      <c r="T13" s="58">
        <f t="shared" si="5"/>
        <v>1.0968217652474999</v>
      </c>
      <c r="U13" s="58">
        <f t="shared" si="5"/>
        <v>1.1236938984960636</v>
      </c>
      <c r="V13" s="58">
        <f t="shared" si="5"/>
        <v>1.151224399009217</v>
      </c>
    </row>
    <row r="14" spans="2:22" ht="15">
      <c r="B14" s="44"/>
      <c r="C14" s="46" t="s">
        <v>43</v>
      </c>
      <c r="D14" s="54"/>
      <c r="E14" s="55"/>
      <c r="F14" s="55"/>
      <c r="G14" s="55"/>
      <c r="H14" s="55"/>
      <c r="I14" s="60"/>
      <c r="J14" s="58"/>
      <c r="K14" s="58"/>
      <c r="L14" s="58"/>
      <c r="M14" s="58"/>
      <c r="N14" s="58"/>
      <c r="O14" s="58">
        <f>P14/(1+P10)</f>
        <v>0.99014754297667429</v>
      </c>
      <c r="P14" s="58">
        <v>1</v>
      </c>
      <c r="Q14" s="58">
        <f t="shared" ref="Q14:V14" si="6">Q9/$P$9</f>
        <v>1.0099504938362078</v>
      </c>
      <c r="R14" s="58">
        <f t="shared" si="6"/>
        <v>1.0346942809351949</v>
      </c>
      <c r="S14" s="58">
        <f t="shared" si="6"/>
        <v>1.0600442908181069</v>
      </c>
      <c r="T14" s="58">
        <f t="shared" si="6"/>
        <v>1.0860153759431506</v>
      </c>
      <c r="U14" s="58">
        <f t="shared" si="6"/>
        <v>1.1126227526537578</v>
      </c>
      <c r="V14" s="58">
        <f t="shared" si="6"/>
        <v>1.1398820100937748</v>
      </c>
    </row>
    <row r="15" spans="2:22" ht="15">
      <c r="B15" s="44"/>
      <c r="C15" s="46" t="s">
        <v>44</v>
      </c>
      <c r="D15" s="54"/>
      <c r="E15" s="55"/>
      <c r="F15" s="55"/>
      <c r="G15" s="55"/>
      <c r="H15" s="55"/>
      <c r="I15" s="60"/>
      <c r="J15" s="58"/>
      <c r="K15" s="59">
        <f t="shared" ref="J15:N16" si="7">(1+L$10)*L15</f>
        <v>1.0679069767441862</v>
      </c>
      <c r="L15" s="59">
        <f t="shared" si="7"/>
        <v>1.0570902394106816</v>
      </c>
      <c r="M15" s="59">
        <f t="shared" si="7"/>
        <v>1.0370370370370372</v>
      </c>
      <c r="N15" s="59">
        <f t="shared" si="7"/>
        <v>1.0159292035398231</v>
      </c>
      <c r="O15" s="58">
        <v>1</v>
      </c>
      <c r="P15" s="58">
        <f t="shared" ref="P15:Q15" si="8">$O$9/P9</f>
        <v>0.99014754297667429</v>
      </c>
      <c r="Q15" s="58">
        <f t="shared" si="8"/>
        <v>0.98039215686274506</v>
      </c>
      <c r="R15" s="58">
        <f>$O$9/R9</f>
        <v>0.95694695643020511</v>
      </c>
      <c r="S15" s="58"/>
      <c r="T15" s="58"/>
      <c r="U15" s="58"/>
      <c r="V15" s="58"/>
    </row>
    <row r="16" spans="2:22" ht="15">
      <c r="B16" s="44"/>
      <c r="C16" s="46" t="s">
        <v>45</v>
      </c>
      <c r="D16" s="59"/>
      <c r="E16" s="59"/>
      <c r="F16" s="59"/>
      <c r="G16" s="59"/>
      <c r="H16" s="59"/>
      <c r="I16" s="59"/>
      <c r="J16" s="59">
        <f t="shared" si="7"/>
        <v>1.0948282973786279</v>
      </c>
      <c r="K16" s="59">
        <f t="shared" si="7"/>
        <v>1.0785331785339227</v>
      </c>
      <c r="L16" s="59">
        <f t="shared" si="7"/>
        <v>1.0676088093222531</v>
      </c>
      <c r="M16" s="59">
        <f t="shared" si="7"/>
        <v>1.0473560676819935</v>
      </c>
      <c r="N16" s="59">
        <f t="shared" si="7"/>
        <v>1.0260382008176696</v>
      </c>
      <c r="O16" s="59">
        <f>(1+P$10)*P16</f>
        <v>1.0099504938362078</v>
      </c>
      <c r="P16" s="58">
        <v>1</v>
      </c>
      <c r="Q16" s="46"/>
      <c r="R16" s="46"/>
      <c r="S16" s="46"/>
      <c r="T16" s="46"/>
      <c r="U16" s="46"/>
      <c r="V16" s="46"/>
    </row>
    <row r="17" spans="2:22" ht="15">
      <c r="B17" s="44"/>
      <c r="C17" s="46" t="s">
        <v>46</v>
      </c>
      <c r="D17" s="59"/>
      <c r="E17" s="59"/>
      <c r="F17" s="59"/>
      <c r="G17" s="59"/>
      <c r="H17" s="59"/>
      <c r="I17" s="59"/>
      <c r="J17" s="59"/>
      <c r="K17" s="59">
        <f t="shared" ref="K17:N17" si="9">$Q$9/K9</f>
        <v>1.0892651162790699</v>
      </c>
      <c r="L17" s="59">
        <f t="shared" si="9"/>
        <v>1.0782320441988951</v>
      </c>
      <c r="M17" s="59">
        <f t="shared" si="9"/>
        <v>1.0577777777777777</v>
      </c>
      <c r="N17" s="59">
        <f t="shared" si="9"/>
        <v>1.0362477876106195</v>
      </c>
      <c r="O17" s="59">
        <f>$Q$9/O9</f>
        <v>1.02</v>
      </c>
      <c r="P17" s="59">
        <f>$Q$9/P9</f>
        <v>1.0099504938362078</v>
      </c>
      <c r="Q17" s="58">
        <v>1</v>
      </c>
      <c r="R17" s="58">
        <f>$Q$9/R9</f>
        <v>0.97608589555880931</v>
      </c>
      <c r="S17" s="58">
        <f t="shared" ref="S17:V17" si="10">$Q$9/S9</f>
        <v>0.95274367550884265</v>
      </c>
      <c r="T17" s="58">
        <f t="shared" si="10"/>
        <v>0.9299596637470402</v>
      </c>
      <c r="U17" s="58">
        <f t="shared" si="10"/>
        <v>0.90772051122209885</v>
      </c>
      <c r="V17" s="58">
        <f t="shared" si="10"/>
        <v>0.88601318811332241</v>
      </c>
    </row>
    <row r="18" spans="2:22" ht="15">
      <c r="B18" s="44"/>
      <c r="C18" s="46" t="s">
        <v>47</v>
      </c>
      <c r="D18" s="59"/>
      <c r="E18" s="59"/>
      <c r="F18" s="59"/>
      <c r="G18" s="59"/>
      <c r="H18" s="59"/>
      <c r="I18" s="59"/>
      <c r="J18" s="59"/>
      <c r="K18" s="59">
        <f t="shared" ref="K18:O18" si="11">1/K11</f>
        <v>0.98511627906976751</v>
      </c>
      <c r="L18" s="59">
        <f t="shared" si="11"/>
        <v>0.97513812154696144</v>
      </c>
      <c r="M18" s="59">
        <f t="shared" si="11"/>
        <v>0.95663956639566405</v>
      </c>
      <c r="N18" s="59">
        <f t="shared" si="11"/>
        <v>0.9371681415929205</v>
      </c>
      <c r="O18" s="59">
        <f t="shared" si="11"/>
        <v>0.92247386759581884</v>
      </c>
      <c r="P18" s="59">
        <f>1/P11</f>
        <v>0.91338523346018985</v>
      </c>
      <c r="Q18" s="58"/>
      <c r="R18" s="58"/>
      <c r="S18" s="58"/>
      <c r="T18" s="58"/>
      <c r="U18" s="58"/>
      <c r="V18" s="58"/>
    </row>
    <row r="19" spans="2:22" ht="15">
      <c r="B19" s="44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pans="2:22" ht="15">
      <c r="B20" s="44"/>
      <c r="C20" s="61" t="s">
        <v>48</v>
      </c>
    </row>
    <row r="21" spans="2:22" ht="15">
      <c r="B21" s="44"/>
      <c r="C21" s="61"/>
      <c r="G21" s="42" t="s">
        <v>49</v>
      </c>
      <c r="J21" s="63">
        <f>(1+K10)^0.5*(1+L10)*(1+M10)</f>
        <v>1.0375174472699489</v>
      </c>
    </row>
  </sheetData>
  <hyperlinks>
    <hyperlink ref="B2" location="Contents!A1" display="Table of Contents" xr:uid="{A2CE44A7-D9CC-45F3-AB97-7FF8D14D8450}"/>
  </hyperlinks>
  <pageMargins left="0.7" right="0.7" top="0.75" bottom="0.75" header="0.3" footer="0.3"/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 A C C C a n d A E R ! 1 1 0 9 5 4 6 3 . 1 < / d o c u m e n t i d >  
     < s e n d e r i d > J A N K E L L < / s e n d e r i d >  
     < s e n d e r e m a i l > J A N E . K E L L Y @ A E R . G O V . A U < / s e n d e r e m a i l >  
     < l a s t m o d i f i e d > 2 0 2 0 - 0 5 - 2 7 T 2 0 : 2 2 : 2 5 . 0 0 0 0 0 0 0 + 0 9 : 3 0 < / l a s t m o d i f i e d >  
     < d a t a b a s e > A C C C a n d A E R 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e t t i n g s   x m l n s : x s i = " h t t p : / / w w w . w 3 . o r g / 2 0 0 1 / X M L S c h e m a - i n s t a n c e "   x m l n s : x s d = " h t t p : / / w w w . w 3 . o r g / 2 0 0 1 / X M L S c h e m a " >  
     < O p t i o n >  
         < O p t i o n T y p e > T o c I n c l u d e P r i n t e d P a g e N u m b e r s 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 T o c P r o m p t F o r P a g e N u m b e r s 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 T o c S h o w C u s t o m T o c E n t r i e s 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 A u t o I n s e r t P r o j e c t S e c t i o n C o v e r s 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 A u t o I n s e r t P r o j e c t S u b S e c t i o n C o v e r s 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 G r o u p L o o k u p s C o m p o n e n t s < / O p t i o n T y p e >  
         < U s e A p p l i c a t i o n S e t t i n g > t r u e < / U s e A p p l i c a t i o n S e t t i n g >  
         < V a l u e > t r u e < / V a l u e >  
     < / O p t i o n >  
     < O p t i o n >  
         < O p t i o n T y p e > S h e e t N a m e s B e s t P r a c t i c e S y n t a x < / O p t i o n T y p e >  
         < U s e A p p l i c a t i o n S e t t i n g > t r u e < / U s e A p p l i c a t i o n S e t t i n g >  
         < V a l u e > f a l s e < / V a l u e >  
     < / O p t i o n >  
     < O p t i o n >  
         < O p t i o n T y p e > S h e e t N a m e s A u t o U n d e r s c o r e < / O p t i o n T y p e >  
         < U s e A p p l i c a t i o n S e t t i n g > t r u e < / U s e A p p l i c a t i o n S e t t i n g >  
         < V a l u e > t r u e < / V a l u e >  
     < / O p t i o n >  
     < O p t i o n >  
         < O p t i o n T y p e > G r o u p C o m p o n e n t R o w s 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 A d d C o m p o n e n t H y p e r l i n k s 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 D i s a b l e T h e m e C h a n g e P r o m p t < / O p t i o n T y p e >  
         < U s e A p p l i c a t i o n S e t t i n g > t r u e < / U s e A p p l i c a t i o n S e t t i n g >  
         < V a l u e > f a l s e < / V a l u e >  
     < / O p t i o n >  
     < I g n o r e C e l l C o n t e n t > f a l s e < / I g n o r e C e l l C o n t e n t >  
     < A u t o F o n t C o l o r S t y l e T y p e s > 0 , 1 , 2 , 5 , 6 , 7 , 8 , 9 , 1 0 , 1 1 , 1 2 , 1 3 , 1 4 , 1 5 , 1 6 , 1 7 , 1 8 , 1 9 , 2 0 , 2 1 , 2 3 , 2 4 , 2 5 , 3 3 < / A u t o F o n t C o l o r S t y l e T y p e s >  
     < B a s e S h e e t T y p e C o l o r >  
         < B a s e S h e e t T y p e >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 C o n t e n t s 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 S u b S e c t i o n C o v e r 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 L o o k u p s 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 S c h e m a t i c s 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 C h a r t 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 O v e r v i e w 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R e q u i r e d C o l o r >  
         < R e q u i r e d C o l o r T y p e > C o n s t a n t < / R e q u i r e d C o l o r T y p e >  
         < C o l o r T y p e > T h e m e C o l o r P a t c h < / C o l o r T y p e >  
         < C o l o r N u m b e r > 5 < / C o l o r N u m b e r >  
         < C o l o r P a t c h R g b > 6 5 6 7 7 1 2 < / C o l o r P a t c h R g b >  
         < T i n t A n d S h a d e > - 0 . 4 9 9 9 8 4 7 < / T i n t A n d S h a d e >  
     < / R e q u i r e d C o l o r >  
     < R e q u i r e d C o l o r >  
         < R e q u i r e d C o l o r T y p e > F o r m u l a < / R e q u i r e d C o l o r T y p e >  
         < C o l o r T y p e > T h e m e C o l o r P a t c h < / C o l o r T y p e >  
         < C o l o r N u m b e r > 2 < / C o l o r N u m b e r >  
         < C o l o r P a t c h R g b > 4 2 1 0 7 5 2 < / C o l o r P a t c h R g b >  
         < T i n t A n d S h a d e > 0 . 2 4 9 9 7 7 1 < / T i n t A n d S h a d e >  
     < / R e q u i r e d C o l o r >  
     < R e q u i r e d C o l o r >  
         < R e q u i r e d C o l o r T y p e > M i x e d C e l l < / R e q u i r e d C o l o r T y p e >  
         < C o l o r T y p e > T h e m e C o l o r P a t c h < / C o l o r T y p e >  
         < C o l o r N u m b e r > 1 0 < / C o l o r N u m b e r >  
         < C o l o r P a t c h R g b > 2 3 1 5 8 3 1 < / C o l o r P a t c h R g b >  
         < T i n t A n d S h a d e > - 0 . 4 9 9 9 8 4 7 < / T i n t A n d S h a d e >  
     < / R e q u i r e d C o l o r >  
     < R e q u i r e d C o l o r >  
         < R e q u i r e d C o l o r T y p e > C h e c k < / R e q u i r e d C o l o r T y p e >  
         < C o l o r T y p e > C o l o r I n d e x < / C o l o r T y p e >  
         < C o l o r N u m b e r > 5 1 < / C o l o r N u m b e r >  
         < C o l o r P a t c h R g b > 4 2 0 4 7 4 7 < / C o l o r P a t c h R g b >  
         < T i n t A n d S h a d e > 0 < / T i n t A n d S h a d e >  
     < / R e q u i r e d C o l o r >  
     < R e q u i r e d C o l o r >  
         < R e q u i r e d C o l o r T y p e > H y p e r l i n k < / R e q u i r e d C o l o r T y p e >  
         < C o l o r T y p e > T h e m e C o l o r P a t c h < / C o l o r T y p e >  
         < C o l o r N u m b e r > 1 2 < / C o l o r N u m b e r >  
         < C o l o r P a t c h R g b > 7 4 9 1 4 7 7 < / C o l o r P a t c h R g b >  
         < T i n t A n d S h a d e > 0 < / T i n t A n d S h a d e >  
     < / R e q u i r e d C o l o r >  
     < R e q u i r e d C o l o r >  
         < R e q u i r e d C o l o r T y p e > W o r k I n P r o g r e s s < / R e q u i r e d C o l o r T y p e >  
         < C o l o r T y p e > C o l o r I n d e x < / C o l o r T y p e >  
         < C o l o r N u m b e r > 5 5 < / C o l o r N u m b e r >  
         < C o l o r P a t c h R g b > 7 9 2 9 8 5 5 < / C o l o r P a t c h R g b >  
         < T i n t A n d S h a d e > 0 < / T i n t A n d S h a d e >  
     < / R e q u i r e d C o l o r >  
     < R e q u i r e d C o l o r >  
         < R e q u i r e d C o l o r T y p e > C o l o r A < / R e q u i r e d C o l o r T y p e >  
         < C o l o r T y p e > C o l o r I n d e x < / C o l o r T y p e >  
         < C o l o r N u m b e r > 1 1 < / C o l o r N u m b e r >  
         < C o l o r P a t c h R g b > 1 5 1 3 2 3 9 0 < / C o l o r P a t c h R g b >  
         < T i n t A n d S h a d e > 0 < / T i n t A n d S h a d e >  
     < / R e q u i r e d C o l o r >  
     < R e q u i r e d C o l o r >  
         < R e q u i r e d C o l o r T y p e > C o l o r B < / R e q u i r e d C o l o r T y p e >  
         < C o l o r T y p e > C o l o r I n d e x < / C o l o r T y p e >  
         < C o l o r N u m b e r > 5 6 < / C o l o r N u m b e r >  
         < C o l o r P a t c h R g b > 1 6 7 7 7 2 1 5 < / C o l o r P a t c h R g b >  
         < T i n t A n d S h a d e > 0 < / T i n t A n d S h a d e >  
     < / R e q u i r e d C o l o r >  
     < S h e e t T i t l e R o w >  
         < T y p e > S h e e t T i t l e 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 M o d e l N a m e 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 T o c H y p e r l i n k < / T y p e >  
         < I n c l u d e > f a l s e < / I n c l u d e >  
         < S e t t i n g > V i s i b l e < / S e t t i n g >  
         < C o l u m n N u m b e r > 2 < / C o l u m n N u m b e r >  
     < / S h e e t T i t l e R o w >  
     < S h e e t T i t l e R o w >  
         < T y p e > N a v i g a t i o n H y p e r l i n k s < / T y p e >  
         < I n c l u d e > f a l s e < / I n c l u d e >  
         < S e t t i n g > V i s i b l e < / S e t t i n g >  
         < C o l u m n N u m b e r > 1 < / C o l u m n N u m b e r >  
     < / S h e e t T i t l e R o w >  
     < I s s u e s R e g i s t e r S o r t B y / >  
     < I s s u e s R e g i s t e r C o l o r >  
         < T y p e > H e a d e r F o n t 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 H e a d e r F i l l < / T y p e >  
         < C o l o r T y p e > T h e m e C o l o r < / C o l o r T y p e >  
         < C o l o r N u m b e r >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 O p e n I s s u e s F o n t 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 O p e n I s s u e s F i l l 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 C l o s e d I s s u e s F o n t < / T y p e >  
         < C o l o r T y p e > C u s t o m < / C o l o r T y p e >  
         < C o l o r N u m b e r > 6 7 1 0 8 8 6 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 C l o s e d I s s u e s F i l l < / T y p e >  
         < C o l o r T y p e > C u s t o m < / C o l o r T y p e >  
         < C o l o r N u m b e r > 1 5 5 9 2 9 4 1 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 R e d u n d a n t I s s u e s F i l l < / T y p e >  
         < C o l o r T y p e > C u s t o m < / C o l o r T y p e >  
         < C o l o r N u m b e r > 4 2 0 4 7 4 7 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 I s s u e s B o r d e r < / T y p e >  
         < C o l o r T y p e > C u s t o m < / C o l o r T y p e >  
         < C o l o r N u m b e r > 1 3 2 2 4 3 9 3 < / C o l o r N u m b e r >  
         < C o l o r P a t c h R g b > 0 < / C o l o r P a t c h R g b >  
         < T i n t A n d S h a d e > 0 < / T i n t A n d S h a d e >  
     < / I s s u e s R e g i s t e r C o l o r >  
 < / W o r k b o o k S e t t i n g s > 
</file>

<file path=customXml/itemProps1.xml><?xml version="1.0" encoding="utf-8"?>
<ds:datastoreItem xmlns:ds="http://schemas.openxmlformats.org/officeDocument/2006/customXml" ds:itemID="{8F37F908-06A3-452B-A6D6-532A880AD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Kane Glenister</dc:creator>
  <cp:keywords/>
  <dc:description/>
  <cp:lastModifiedBy>Charlotte Eddy</cp:lastModifiedBy>
  <cp:revision/>
  <dcterms:created xsi:type="dcterms:W3CDTF">2020-03-05T02:19:15Z</dcterms:created>
  <dcterms:modified xsi:type="dcterms:W3CDTF">2020-05-27T10:52:25Z</dcterms:modified>
  <cp:category/>
  <cp:contentStatus/>
</cp:coreProperties>
</file>