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60" windowWidth="21600" windowHeight="9435"/>
  </bookViews>
  <sheets>
    <sheet name="WACC" sheetId="5" r:id="rId1"/>
    <sheet name="Escalators" sheetId="3" r:id="rId2"/>
    <sheet name="Field Officer Visit Costs" sheetId="1" r:id="rId3"/>
    <sheet name="Quoted Services" sheetId="4" r:id="rId4"/>
    <sheet name="Connection Fees" sheetId="10" r:id="rId5"/>
    <sheet name="Meter Equipment Test" sheetId="6" r:id="rId6"/>
    <sheet name="2015 Remote Reconfig" sheetId="7" r:id="rId7"/>
    <sheet name="Exit fee" sheetId="8" r:id="rId8"/>
    <sheet name="Materials cost" sheetId="9" r:id="rId9"/>
  </sheets>
  <externalReferences>
    <externalReference r:id="rId10"/>
    <externalReference r:id="rId11"/>
  </externalReferences>
  <definedNames>
    <definedName name="CRCP_y5">'[1]1.0 Business &amp; other details'!$G$38</definedName>
    <definedName name="dms_DollarReal">'[1]1.0 Business &amp; other details'!$C$55</definedName>
    <definedName name="FRCP">'[1]1.0 Business &amp; other details'!$C$35:$G$35</definedName>
    <definedName name="Thousands">[2]Spare!$C$5</definedName>
    <definedName name="TM1REBUILDOPTION">1</definedName>
  </definedNames>
  <calcPr calcId="145621"/>
</workbook>
</file>

<file path=xl/calcChain.xml><?xml version="1.0" encoding="utf-8"?>
<calcChain xmlns="http://schemas.openxmlformats.org/spreadsheetml/2006/main">
  <c r="O24" i="6" l="1"/>
  <c r="N24" i="6"/>
  <c r="M24" i="6"/>
  <c r="O7" i="6"/>
  <c r="O25" i="6" s="1"/>
  <c r="N7" i="6"/>
  <c r="N25" i="6" s="1"/>
  <c r="M7" i="6"/>
  <c r="M25" i="6" s="1"/>
  <c r="O6" i="6"/>
  <c r="N6" i="6"/>
  <c r="M6" i="6"/>
  <c r="F24" i="6"/>
  <c r="E24" i="6"/>
  <c r="D24" i="6"/>
  <c r="F6" i="6"/>
  <c r="E6" i="6"/>
  <c r="D6" i="6"/>
  <c r="B40" i="10"/>
  <c r="W36" i="10"/>
  <c r="W35" i="10"/>
  <c r="W34" i="10"/>
  <c r="X34" i="10" s="1"/>
  <c r="W33" i="10"/>
  <c r="X36" i="10"/>
  <c r="X35" i="10"/>
  <c r="X33" i="10"/>
  <c r="L30" i="10"/>
  <c r="K30" i="10"/>
  <c r="K29" i="10"/>
  <c r="L29" i="10" s="1"/>
  <c r="K28" i="10"/>
  <c r="L28" i="10" s="1"/>
  <c r="K27" i="10"/>
  <c r="L27" i="10" s="1"/>
  <c r="L26" i="10"/>
  <c r="K26" i="10"/>
  <c r="AN24" i="10"/>
  <c r="C24" i="10"/>
  <c r="AN23" i="10"/>
  <c r="AN22" i="10"/>
  <c r="C22" i="10"/>
  <c r="AN21" i="10"/>
  <c r="AN20" i="10"/>
  <c r="C20" i="10"/>
  <c r="AN19" i="10"/>
  <c r="AN18" i="10"/>
  <c r="C18" i="10"/>
  <c r="I17" i="10"/>
  <c r="H17" i="10"/>
  <c r="AN15" i="10"/>
  <c r="AN14" i="10"/>
  <c r="AN13" i="10"/>
  <c r="AN12" i="10"/>
  <c r="AN11" i="10"/>
  <c r="AN10" i="10"/>
  <c r="AN9" i="10"/>
  <c r="AN8" i="10"/>
  <c r="AN7" i="10"/>
  <c r="AN6" i="10"/>
  <c r="AN5" i="10"/>
  <c r="AN4" i="10"/>
  <c r="AN17" i="10" s="1"/>
  <c r="D5" i="4"/>
  <c r="E5" i="4"/>
  <c r="D6" i="4"/>
  <c r="E6" i="4"/>
  <c r="D7" i="4"/>
  <c r="E7" i="4"/>
  <c r="D8" i="4"/>
  <c r="E8" i="4"/>
  <c r="D9" i="4"/>
  <c r="E9" i="4"/>
  <c r="D10" i="4"/>
  <c r="E10" i="4"/>
  <c r="D11" i="4"/>
  <c r="E11" i="4"/>
  <c r="D12" i="4"/>
  <c r="E12" i="4"/>
  <c r="D13" i="4"/>
  <c r="E13" i="4"/>
  <c r="D14" i="4"/>
  <c r="E14" i="4"/>
  <c r="D15" i="4"/>
  <c r="E15" i="4"/>
  <c r="D16" i="4"/>
  <c r="E16" i="4"/>
  <c r="D17" i="4"/>
  <c r="E17" i="4"/>
  <c r="E4" i="4"/>
  <c r="D4" i="4"/>
  <c r="CJ38" i="1"/>
  <c r="CC39" i="1"/>
  <c r="K12" i="3"/>
  <c r="L24" i="6" l="1"/>
  <c r="K24" i="6"/>
  <c r="J24" i="6"/>
  <c r="J16" i="6" l="1"/>
  <c r="L16" i="6"/>
  <c r="K16" i="6"/>
  <c r="L7" i="6"/>
  <c r="K7" i="6"/>
  <c r="J7" i="6"/>
  <c r="F47" i="9" l="1"/>
  <c r="F46" i="9"/>
  <c r="F45" i="9"/>
  <c r="F44" i="9"/>
  <c r="F39" i="9"/>
  <c r="F38" i="9"/>
  <c r="F37" i="9"/>
  <c r="F40" i="9" s="1"/>
  <c r="F32" i="9"/>
  <c r="F31" i="9"/>
  <c r="F30" i="9"/>
  <c r="F29" i="9"/>
  <c r="F33" i="9" s="1"/>
  <c r="F24" i="9"/>
  <c r="F23" i="9"/>
  <c r="F22" i="9"/>
  <c r="F21" i="9"/>
  <c r="F20" i="9"/>
  <c r="C42" i="10" l="1"/>
  <c r="B42" i="10"/>
  <c r="C4" i="10"/>
  <c r="C41" i="10"/>
  <c r="C26" i="10" s="1"/>
  <c r="C40" i="10"/>
  <c r="B6" i="10"/>
  <c r="B17" i="10" s="1"/>
  <c r="F25" i="9"/>
  <c r="F48" i="9"/>
  <c r="F8" i="7"/>
  <c r="L8" i="7"/>
  <c r="F11" i="7"/>
  <c r="L11" i="7"/>
  <c r="F14" i="7"/>
  <c r="L14" i="7"/>
  <c r="C20" i="7"/>
  <c r="B8" i="10" l="1"/>
  <c r="B19" i="10" s="1"/>
  <c r="C15" i="10"/>
  <c r="B4" i="10"/>
  <c r="B15" i="10" s="1"/>
  <c r="B41" i="10"/>
  <c r="B26" i="10" s="1"/>
  <c r="I14" i="7"/>
  <c r="M14" i="7" s="1"/>
  <c r="I8" i="7"/>
  <c r="M8" i="7" s="1"/>
  <c r="I11" i="7"/>
  <c r="M11" i="7" s="1"/>
  <c r="M16" i="7" l="1"/>
  <c r="M19" i="7" s="1"/>
  <c r="C6" i="10"/>
  <c r="B37" i="10"/>
  <c r="C10" i="10"/>
  <c r="L6" i="6"/>
  <c r="K6" i="6"/>
  <c r="J6" i="6"/>
  <c r="C28" i="10" l="1"/>
  <c r="B28" i="10"/>
  <c r="B5" i="10"/>
  <c r="B16" i="10" s="1"/>
  <c r="C5" i="10"/>
  <c r="C16" i="10" s="1"/>
  <c r="C21" i="10"/>
  <c r="B12" i="10"/>
  <c r="B23" i="10" s="1"/>
  <c r="C8" i="10"/>
  <c r="C19" i="10" s="1"/>
  <c r="C17" i="10"/>
  <c r="B10" i="10"/>
  <c r="B21" i="10" s="1"/>
  <c r="C37" i="10"/>
  <c r="D15" i="6"/>
  <c r="J15" i="6" s="1"/>
  <c r="E15" i="6"/>
  <c r="K15" i="6" s="1"/>
  <c r="F15" i="6"/>
  <c r="L15" i="6" s="1"/>
  <c r="C12" i="10" l="1"/>
  <c r="C23" i="10" s="1"/>
  <c r="N15" i="6"/>
  <c r="O15" i="6"/>
  <c r="P16" i="4"/>
  <c r="P15" i="4"/>
  <c r="P13" i="4"/>
  <c r="P12" i="4"/>
  <c r="P11" i="4"/>
  <c r="P10" i="4"/>
  <c r="P6" i="4"/>
  <c r="P5" i="4"/>
  <c r="P7" i="4" l="1"/>
  <c r="P17" i="4"/>
  <c r="M15" i="6"/>
  <c r="CI40" i="1"/>
  <c r="N16" i="6" l="1"/>
  <c r="O16" i="6"/>
  <c r="C44" i="3"/>
  <c r="E43" i="3"/>
  <c r="F43" i="3" s="1"/>
  <c r="G43" i="3" s="1"/>
  <c r="H43" i="3" s="1"/>
  <c r="I43" i="3" s="1"/>
  <c r="J43" i="3" s="1"/>
  <c r="K43" i="3" s="1"/>
  <c r="E42" i="3"/>
  <c r="F42" i="3" s="1"/>
  <c r="G42" i="3" s="1"/>
  <c r="H42" i="3" s="1"/>
  <c r="I42" i="3" s="1"/>
  <c r="J42" i="3" s="1"/>
  <c r="K42" i="3" s="1"/>
  <c r="E41" i="3"/>
  <c r="F41" i="3" s="1"/>
  <c r="G41" i="3" s="1"/>
  <c r="H41" i="3" s="1"/>
  <c r="I41" i="3" s="1"/>
  <c r="J41" i="3" s="1"/>
  <c r="K41" i="3" s="1"/>
  <c r="E40" i="3"/>
  <c r="F40" i="3" s="1"/>
  <c r="G40" i="3" s="1"/>
  <c r="H40" i="3" s="1"/>
  <c r="I40" i="3" s="1"/>
  <c r="J40" i="3" s="1"/>
  <c r="K40" i="3" s="1"/>
  <c r="E39" i="3"/>
  <c r="F39" i="3" s="1"/>
  <c r="G39" i="3" s="1"/>
  <c r="H39" i="3" s="1"/>
  <c r="I39" i="3" s="1"/>
  <c r="J39" i="3" s="1"/>
  <c r="K39" i="3" s="1"/>
  <c r="E26" i="3"/>
  <c r="F26" i="3" s="1"/>
  <c r="G26" i="3" s="1"/>
  <c r="H26" i="3" s="1"/>
  <c r="I26" i="3" s="1"/>
  <c r="J26" i="3" s="1"/>
  <c r="K26" i="3" s="1"/>
  <c r="J12" i="3"/>
  <c r="I12" i="3"/>
  <c r="J11" i="3"/>
  <c r="E24" i="3" s="1"/>
  <c r="I11" i="3"/>
  <c r="H15" i="3" s="1"/>
  <c r="H11" i="3"/>
  <c r="G11" i="3"/>
  <c r="F11" i="3"/>
  <c r="E11" i="3"/>
  <c r="D11" i="3"/>
  <c r="L10" i="3"/>
  <c r="K10" i="3"/>
  <c r="K11" i="3" s="1"/>
  <c r="J14" i="3" s="1"/>
  <c r="E6" i="3"/>
  <c r="F6" i="3" s="1"/>
  <c r="G6" i="3" s="1"/>
  <c r="H6" i="3" s="1"/>
  <c r="I6" i="3" s="1"/>
  <c r="J6" i="3" s="1"/>
  <c r="L6" i="3" s="1"/>
  <c r="M6" i="3" s="1"/>
  <c r="N6" i="3" s="1"/>
  <c r="O6" i="3" s="1"/>
  <c r="P6" i="3" s="1"/>
  <c r="Q6" i="3" s="1"/>
  <c r="F24" i="3" l="1"/>
  <c r="Q4" i="4"/>
  <c r="Q9" i="4"/>
  <c r="I13" i="4"/>
  <c r="I15" i="4"/>
  <c r="I17" i="4"/>
  <c r="Q8" i="4"/>
  <c r="Q14" i="4"/>
  <c r="I6" i="4"/>
  <c r="I8" i="4"/>
  <c r="I10" i="4"/>
  <c r="I12" i="4"/>
  <c r="I14" i="4"/>
  <c r="I16" i="4"/>
  <c r="I5" i="4"/>
  <c r="I7" i="4"/>
  <c r="I9" i="4"/>
  <c r="I11" i="4"/>
  <c r="I4" i="4"/>
  <c r="Q11" i="4"/>
  <c r="Q13" i="4"/>
  <c r="Q6" i="4"/>
  <c r="Q15" i="4"/>
  <c r="Q5" i="4"/>
  <c r="Q16" i="4"/>
  <c r="Q12" i="4"/>
  <c r="Q10" i="4"/>
  <c r="Q17" i="4"/>
  <c r="Q7" i="4"/>
  <c r="M16" i="6"/>
  <c r="G15" i="3"/>
  <c r="F15" i="3" s="1"/>
  <c r="E15" i="3" s="1"/>
  <c r="D15" i="3" s="1"/>
  <c r="G24" i="3"/>
  <c r="L13" i="3"/>
  <c r="I14" i="3"/>
  <c r="H14" i="3" s="1"/>
  <c r="G14" i="3" s="1"/>
  <c r="F14" i="3" s="1"/>
  <c r="E14" i="3" s="1"/>
  <c r="D14" i="3" s="1"/>
  <c r="M10" i="3"/>
  <c r="L12" i="3"/>
  <c r="S4" i="4" l="1"/>
  <c r="K6" i="4"/>
  <c r="K8" i="4"/>
  <c r="K10" i="4"/>
  <c r="K4" i="4"/>
  <c r="S9" i="4"/>
  <c r="K7" i="4"/>
  <c r="K9" i="4"/>
  <c r="K11" i="4"/>
  <c r="K13" i="4"/>
  <c r="K15" i="4"/>
  <c r="K17" i="4"/>
  <c r="K12" i="4"/>
  <c r="K5" i="4"/>
  <c r="S8" i="4"/>
  <c r="S14" i="4"/>
  <c r="K14" i="4"/>
  <c r="K16" i="4"/>
  <c r="S11" i="4"/>
  <c r="S10" i="4"/>
  <c r="S15" i="4"/>
  <c r="S6" i="4"/>
  <c r="S5" i="4"/>
  <c r="S12" i="4"/>
  <c r="S13" i="4"/>
  <c r="S16" i="4"/>
  <c r="S17" i="4"/>
  <c r="S7" i="4"/>
  <c r="J4" i="4"/>
  <c r="R9" i="4"/>
  <c r="J7" i="4"/>
  <c r="J9" i="4"/>
  <c r="J11" i="4"/>
  <c r="J13" i="4"/>
  <c r="J15" i="4"/>
  <c r="J17" i="4"/>
  <c r="J5" i="4"/>
  <c r="R8" i="4"/>
  <c r="R14" i="4"/>
  <c r="J6" i="4"/>
  <c r="J8" i="4"/>
  <c r="J10" i="4"/>
  <c r="J12" i="4"/>
  <c r="J14" i="4"/>
  <c r="J16" i="4"/>
  <c r="R4" i="4"/>
  <c r="R13" i="4"/>
  <c r="R16" i="4"/>
  <c r="R12" i="4"/>
  <c r="R6" i="4"/>
  <c r="R5" i="4"/>
  <c r="R15" i="4"/>
  <c r="R11" i="4"/>
  <c r="R10" i="4"/>
  <c r="R7" i="4"/>
  <c r="R17" i="4"/>
  <c r="H24" i="3"/>
  <c r="N10" i="3"/>
  <c r="M12" i="3"/>
  <c r="M13" i="3"/>
  <c r="T8" i="4" l="1"/>
  <c r="T14" i="4"/>
  <c r="L6" i="4"/>
  <c r="L8" i="4"/>
  <c r="L10" i="4"/>
  <c r="L12" i="4"/>
  <c r="L14" i="4"/>
  <c r="L16" i="4"/>
  <c r="T4" i="4"/>
  <c r="L4" i="4"/>
  <c r="T9" i="4"/>
  <c r="L7" i="4"/>
  <c r="L9" i="4"/>
  <c r="L11" i="4"/>
  <c r="L13" i="4"/>
  <c r="L15" i="4"/>
  <c r="L17" i="4"/>
  <c r="L5" i="4"/>
  <c r="T10" i="4"/>
  <c r="T13" i="4"/>
  <c r="T16" i="4"/>
  <c r="T5" i="4"/>
  <c r="T6" i="4"/>
  <c r="T11" i="4"/>
  <c r="T12" i="4"/>
  <c r="T15" i="4"/>
  <c r="T7" i="4"/>
  <c r="T17" i="4"/>
  <c r="I24" i="3"/>
  <c r="N12" i="3"/>
  <c r="O10" i="3"/>
  <c r="N13" i="3"/>
  <c r="M5" i="4" l="1"/>
  <c r="U8" i="4"/>
  <c r="U14" i="4"/>
  <c r="M6" i="4"/>
  <c r="M8" i="4"/>
  <c r="M10" i="4"/>
  <c r="M12" i="4"/>
  <c r="M14" i="4"/>
  <c r="M16" i="4"/>
  <c r="U9" i="4"/>
  <c r="M7" i="4"/>
  <c r="M9" i="4"/>
  <c r="M15" i="4"/>
  <c r="M17" i="4"/>
  <c r="U4" i="4"/>
  <c r="M4" i="4"/>
  <c r="M11" i="4"/>
  <c r="M13" i="4"/>
  <c r="U5" i="4"/>
  <c r="U11" i="4"/>
  <c r="U6" i="4"/>
  <c r="U15" i="4"/>
  <c r="U16" i="4"/>
  <c r="U12" i="4"/>
  <c r="U13" i="4"/>
  <c r="U10" i="4"/>
  <c r="U7" i="4"/>
  <c r="U17" i="4"/>
  <c r="J24" i="3"/>
  <c r="P10" i="3"/>
  <c r="O13" i="3"/>
  <c r="O12" i="3"/>
  <c r="N4" i="4" l="1"/>
  <c r="V9" i="4"/>
  <c r="N7" i="4"/>
  <c r="N9" i="4"/>
  <c r="N11" i="4"/>
  <c r="N13" i="4"/>
  <c r="N15" i="4"/>
  <c r="N17" i="4"/>
  <c r="N5" i="4"/>
  <c r="V4" i="4"/>
  <c r="V8" i="4"/>
  <c r="V14" i="4"/>
  <c r="N6" i="4"/>
  <c r="N8" i="4"/>
  <c r="N10" i="4"/>
  <c r="N12" i="4"/>
  <c r="N14" i="4"/>
  <c r="N16" i="4"/>
  <c r="V5" i="4"/>
  <c r="V6" i="4"/>
  <c r="V11" i="4"/>
  <c r="V13" i="4"/>
  <c r="V16" i="4"/>
  <c r="V12" i="4"/>
  <c r="V10" i="4"/>
  <c r="V15" i="4"/>
  <c r="V7" i="4"/>
  <c r="V17" i="4"/>
  <c r="P25" i="6"/>
  <c r="B25" i="6" s="1"/>
  <c r="B30" i="10" s="1"/>
  <c r="K24" i="3"/>
  <c r="P24" i="6"/>
  <c r="B24" i="6" s="1"/>
  <c r="B29" i="10" s="1"/>
  <c r="P13" i="3"/>
  <c r="P12" i="3"/>
  <c r="Q10" i="3"/>
  <c r="P16" i="6" l="1"/>
  <c r="B16" i="6" s="1"/>
  <c r="B46" i="10" s="1"/>
  <c r="P6" i="6"/>
  <c r="B6" i="6" s="1"/>
  <c r="B43" i="10" s="1"/>
  <c r="P15" i="6"/>
  <c r="B15" i="6" s="1"/>
  <c r="B45" i="10" s="1"/>
  <c r="P7" i="6"/>
  <c r="B7" i="6" s="1"/>
  <c r="B44" i="10" s="1"/>
  <c r="Q13" i="3"/>
  <c r="Q12" i="3"/>
  <c r="CC37" i="1" l="1"/>
  <c r="CD37" i="1" s="1"/>
  <c r="CE37" i="1" s="1"/>
  <c r="CF37" i="1" s="1"/>
  <c r="CG37" i="1" s="1"/>
  <c r="CH37" i="1" s="1"/>
  <c r="CB36" i="1" l="1"/>
  <c r="BO36" i="1"/>
  <c r="BB36" i="1"/>
  <c r="AO36" i="1"/>
  <c r="AB36" i="1"/>
  <c r="O36" i="1"/>
  <c r="P39" i="1" l="1"/>
  <c r="Q39" i="1"/>
  <c r="R39" i="1"/>
  <c r="S39" i="1"/>
  <c r="T39" i="1"/>
  <c r="U39" i="1"/>
  <c r="V39" i="1"/>
  <c r="W39" i="1"/>
  <c r="X39" i="1"/>
  <c r="Y39" i="1"/>
  <c r="Z39" i="1"/>
  <c r="AA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14" i="1"/>
  <c r="CB16" i="1"/>
  <c r="CB23" i="1"/>
  <c r="CB30" i="1"/>
  <c r="CB29" i="1"/>
  <c r="CB28" i="1"/>
  <c r="CB27" i="1"/>
  <c r="CB26" i="1"/>
  <c r="CB25" i="1"/>
  <c r="CB22" i="1"/>
  <c r="CB21" i="1"/>
  <c r="CB20" i="1"/>
  <c r="CB19" i="1"/>
  <c r="CB18" i="1"/>
  <c r="CB13" i="1"/>
  <c r="CB12" i="1"/>
  <c r="CB11" i="1"/>
  <c r="BO14" i="1"/>
  <c r="BO16" i="1"/>
  <c r="BO23" i="1"/>
  <c r="BO30" i="1"/>
  <c r="BO29" i="1"/>
  <c r="BO28" i="1"/>
  <c r="BO27" i="1"/>
  <c r="BO26" i="1"/>
  <c r="BO25" i="1"/>
  <c r="BO22" i="1"/>
  <c r="BO21" i="1"/>
  <c r="BO20" i="1"/>
  <c r="BO19" i="1"/>
  <c r="BO18" i="1"/>
  <c r="BO13" i="1"/>
  <c r="BO12" i="1"/>
  <c r="BO11" i="1"/>
  <c r="BB14" i="1"/>
  <c r="BB16" i="1"/>
  <c r="BB23" i="1"/>
  <c r="BB30" i="1"/>
  <c r="BB29" i="1"/>
  <c r="BB28" i="1"/>
  <c r="BB27" i="1"/>
  <c r="BB26" i="1"/>
  <c r="BB25" i="1"/>
  <c r="BB22" i="1"/>
  <c r="BB21" i="1"/>
  <c r="BB20" i="1"/>
  <c r="BB19" i="1"/>
  <c r="BB18" i="1"/>
  <c r="BB13" i="1"/>
  <c r="BB12" i="1"/>
  <c r="BB11" i="1"/>
  <c r="AO14" i="1"/>
  <c r="AO16" i="1"/>
  <c r="AO23" i="1"/>
  <c r="AO30" i="1"/>
  <c r="AO29" i="1"/>
  <c r="AO28" i="1"/>
  <c r="AO27" i="1"/>
  <c r="AO26" i="1"/>
  <c r="AO25" i="1"/>
  <c r="AO22" i="1"/>
  <c r="AO21" i="1"/>
  <c r="AO20" i="1"/>
  <c r="AO19" i="1"/>
  <c r="AO18" i="1"/>
  <c r="AO13" i="1"/>
  <c r="AO12" i="1"/>
  <c r="AO11" i="1"/>
  <c r="AB14" i="1"/>
  <c r="AB16" i="1"/>
  <c r="AB23" i="1"/>
  <c r="AB30" i="1"/>
  <c r="AB29" i="1"/>
  <c r="AB28" i="1"/>
  <c r="AB27" i="1"/>
  <c r="AB26" i="1"/>
  <c r="AB25" i="1"/>
  <c r="AB22" i="1"/>
  <c r="AB21" i="1"/>
  <c r="AB20" i="1"/>
  <c r="AB19" i="1"/>
  <c r="AB18" i="1"/>
  <c r="AB13" i="1"/>
  <c r="AB12" i="1"/>
  <c r="AB11" i="1"/>
  <c r="O30" i="1"/>
  <c r="O29" i="1"/>
  <c r="O28" i="1"/>
  <c r="O27" i="1"/>
  <c r="O26" i="1"/>
  <c r="O25" i="1"/>
  <c r="O23" i="1"/>
  <c r="O22" i="1"/>
  <c r="O21" i="1"/>
  <c r="O20" i="1"/>
  <c r="O19" i="1"/>
  <c r="O18" i="1"/>
  <c r="O16" i="1"/>
  <c r="O12" i="1"/>
  <c r="O13" i="1"/>
  <c r="O14" i="1"/>
  <c r="O11" i="1"/>
  <c r="AO32" i="1" l="1"/>
  <c r="AO39" i="1" s="1"/>
  <c r="CB32" i="1"/>
  <c r="CB39" i="1" s="1"/>
  <c r="O32" i="1"/>
  <c r="O39" i="1" s="1"/>
  <c r="CD39" i="1"/>
  <c r="AB32" i="1"/>
  <c r="AB39" i="1" s="1"/>
  <c r="BB32" i="1"/>
  <c r="BB39" i="1" s="1"/>
  <c r="BO32" i="1"/>
  <c r="BO39" i="1" s="1"/>
  <c r="CE39" i="1" l="1"/>
  <c r="CF39" i="1" s="1"/>
  <c r="CG39" i="1" s="1"/>
  <c r="CH39" i="1" s="1"/>
  <c r="CI39" i="1" l="1"/>
  <c r="CI41" i="1" s="1"/>
  <c r="CD42" i="1" l="1"/>
  <c r="CG42" i="1"/>
  <c r="CE42" i="1"/>
  <c r="CH42" i="1"/>
  <c r="CF42" i="1"/>
  <c r="CI42" i="1" l="1"/>
</calcChain>
</file>

<file path=xl/comments1.xml><?xml version="1.0" encoding="utf-8"?>
<comments xmlns="http://schemas.openxmlformats.org/spreadsheetml/2006/main">
  <authors>
    <author>Eric Howie</author>
  </authors>
  <commentList>
    <comment ref="P5" authorId="0">
      <text>
        <r>
          <rPr>
            <b/>
            <sz val="9"/>
            <color indexed="81"/>
            <rFont val="Tahoma"/>
            <family val="2"/>
          </rPr>
          <t>Eric Howie:</t>
        </r>
        <r>
          <rPr>
            <sz val="9"/>
            <color indexed="81"/>
            <rFont val="Tahoma"/>
            <family val="2"/>
          </rPr>
          <t xml:space="preserve">
Adjusted by same ratio as Construction O/H Install</t>
        </r>
      </text>
    </comment>
    <comment ref="P6" authorId="0">
      <text>
        <r>
          <rPr>
            <b/>
            <sz val="9"/>
            <color indexed="81"/>
            <rFont val="Tahoma"/>
            <family val="2"/>
          </rPr>
          <t>Eric Howie:</t>
        </r>
        <r>
          <rPr>
            <sz val="9"/>
            <color indexed="81"/>
            <rFont val="Tahoma"/>
            <family val="2"/>
          </rPr>
          <t xml:space="preserve">
Adjusted by same ratio as Construction O/H Install</t>
        </r>
      </text>
    </comment>
    <comment ref="P7" authorId="0">
      <text>
        <r>
          <rPr>
            <b/>
            <sz val="9"/>
            <color indexed="81"/>
            <rFont val="Tahoma"/>
            <family val="2"/>
          </rPr>
          <t>Eric Howie:</t>
        </r>
        <r>
          <rPr>
            <sz val="9"/>
            <color indexed="81"/>
            <rFont val="Tahoma"/>
            <family val="2"/>
          </rPr>
          <t xml:space="preserve">
Veh &amp; Equip assumed to be difference to Tech Officer Labour rate, Amount is Tech Officer AH plus the difference.</t>
        </r>
      </text>
    </comment>
    <comment ref="P10" authorId="0">
      <text>
        <r>
          <rPr>
            <b/>
            <sz val="9"/>
            <color indexed="81"/>
            <rFont val="Tahoma"/>
            <family val="2"/>
          </rPr>
          <t>Eric Howie:</t>
        </r>
        <r>
          <rPr>
            <sz val="9"/>
            <color indexed="81"/>
            <rFont val="Tahoma"/>
            <family val="2"/>
          </rPr>
          <t xml:space="preserve">
Adjusted by same ratio as Construction O/H Install</t>
        </r>
      </text>
    </comment>
    <comment ref="P11" authorId="0">
      <text>
        <r>
          <rPr>
            <b/>
            <sz val="9"/>
            <color indexed="81"/>
            <rFont val="Tahoma"/>
            <family val="2"/>
          </rPr>
          <t>Eric Howie:</t>
        </r>
        <r>
          <rPr>
            <sz val="9"/>
            <color indexed="81"/>
            <rFont val="Tahoma"/>
            <family val="2"/>
          </rPr>
          <t xml:space="preserve">
Adjusted by same ratio as Construction O/H Install</t>
        </r>
      </text>
    </comment>
    <comment ref="P12" authorId="0">
      <text>
        <r>
          <rPr>
            <b/>
            <sz val="9"/>
            <color indexed="81"/>
            <rFont val="Tahoma"/>
            <family val="2"/>
          </rPr>
          <t>Eric Howie:</t>
        </r>
        <r>
          <rPr>
            <sz val="9"/>
            <color indexed="81"/>
            <rFont val="Tahoma"/>
            <family val="2"/>
          </rPr>
          <t xml:space="preserve">
Adjusted by same ratio as Construction O/H Install</t>
        </r>
      </text>
    </comment>
    <comment ref="P13" authorId="0">
      <text>
        <r>
          <rPr>
            <b/>
            <sz val="9"/>
            <color indexed="81"/>
            <rFont val="Tahoma"/>
            <family val="2"/>
          </rPr>
          <t>Eric Howie:</t>
        </r>
        <r>
          <rPr>
            <sz val="9"/>
            <color indexed="81"/>
            <rFont val="Tahoma"/>
            <family val="2"/>
          </rPr>
          <t xml:space="preserve">
Adjusted by same ratio as Construction O/H Install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Eric Howie:</t>
        </r>
        <r>
          <rPr>
            <sz val="9"/>
            <color indexed="81"/>
            <rFont val="Tahoma"/>
            <family val="2"/>
          </rPr>
          <t xml:space="preserve">
Same as Const O/H</t>
        </r>
      </text>
    </comment>
    <comment ref="P14" authorId="0">
      <text>
        <r>
          <rPr>
            <b/>
            <sz val="9"/>
            <color indexed="81"/>
            <rFont val="Tahoma"/>
            <family val="2"/>
          </rPr>
          <t>Eric Howie:</t>
        </r>
        <r>
          <rPr>
            <sz val="9"/>
            <color indexed="81"/>
            <rFont val="Tahoma"/>
            <family val="2"/>
          </rPr>
          <t xml:space="preserve">
Same as Const O/H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Eric Howie:</t>
        </r>
        <r>
          <rPr>
            <sz val="9"/>
            <color indexed="81"/>
            <rFont val="Tahoma"/>
            <family val="2"/>
          </rPr>
          <t xml:space="preserve">
Same rate as Tech Officer</t>
        </r>
      </text>
    </comment>
    <comment ref="P15" authorId="0">
      <text>
        <r>
          <rPr>
            <b/>
            <sz val="9"/>
            <color indexed="81"/>
            <rFont val="Tahoma"/>
            <family val="2"/>
          </rPr>
          <t>Eric Howie:</t>
        </r>
        <r>
          <rPr>
            <sz val="9"/>
            <color indexed="81"/>
            <rFont val="Tahoma"/>
            <family val="2"/>
          </rPr>
          <t xml:space="preserve">
Adjusted by same ratio as Construction O/H Install</t>
        </r>
      </text>
    </comment>
    <comment ref="P16" authorId="0">
      <text>
        <r>
          <rPr>
            <b/>
            <sz val="9"/>
            <color indexed="81"/>
            <rFont val="Tahoma"/>
            <family val="2"/>
          </rPr>
          <t>Eric Howie:</t>
        </r>
        <r>
          <rPr>
            <sz val="9"/>
            <color indexed="81"/>
            <rFont val="Tahoma"/>
            <family val="2"/>
          </rPr>
          <t xml:space="preserve">
Adjusted by same ratio as Construction O/H Install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Eric Howie:</t>
        </r>
        <r>
          <rPr>
            <sz val="9"/>
            <color indexed="81"/>
            <rFont val="Tahoma"/>
            <family val="2"/>
          </rPr>
          <t xml:space="preserve">
Same rate as Tech Officer</t>
        </r>
      </text>
    </comment>
    <comment ref="P17" authorId="0">
      <text>
        <r>
          <rPr>
            <b/>
            <sz val="9"/>
            <color indexed="81"/>
            <rFont val="Tahoma"/>
            <family val="2"/>
          </rPr>
          <t>Eric Howie:</t>
        </r>
        <r>
          <rPr>
            <sz val="9"/>
            <color indexed="81"/>
            <rFont val="Tahoma"/>
            <family val="2"/>
          </rPr>
          <t xml:space="preserve">
Adjusted by same ratio as Construction O/H Install</t>
        </r>
      </text>
    </comment>
  </commentList>
</comments>
</file>

<file path=xl/comments2.xml><?xml version="1.0" encoding="utf-8"?>
<comments xmlns="http://schemas.openxmlformats.org/spreadsheetml/2006/main">
  <authors>
    <author>Rohan Harris</author>
    <author>Eric Howie</author>
  </authors>
  <commentList>
    <comment ref="C6" authorId="0">
      <text>
        <r>
          <rPr>
            <b/>
            <sz val="9"/>
            <color indexed="81"/>
            <rFont val="Tahoma"/>
            <family val="2"/>
          </rPr>
          <t>Rohan Harris:</t>
        </r>
        <r>
          <rPr>
            <sz val="9"/>
            <color indexed="81"/>
            <rFont val="Tahoma"/>
            <family val="2"/>
          </rPr>
          <t xml:space="preserve">
Have used the same ratio as single phase o/h, as Tenix does not offer an after hours rate for this service</t>
        </r>
      </text>
    </comment>
    <comment ref="I7" authorId="1">
      <text>
        <r>
          <rPr>
            <b/>
            <sz val="9"/>
            <color indexed="81"/>
            <rFont val="Tahoma"/>
            <family val="2"/>
          </rPr>
          <t>Eric Howie:</t>
        </r>
        <r>
          <rPr>
            <sz val="9"/>
            <color indexed="81"/>
            <rFont val="Tahoma"/>
            <family val="2"/>
          </rPr>
          <t xml:space="preserve">
Electrix Servicing charge plus EIV testing charge, refer note from Adam Duffield</t>
        </r>
      </text>
    </comment>
    <comment ref="AE7" authorId="1">
      <text>
        <r>
          <rPr>
            <b/>
            <sz val="9"/>
            <color indexed="81"/>
            <rFont val="Tahoma"/>
            <family val="2"/>
          </rPr>
          <t>Eric Howie:</t>
        </r>
        <r>
          <rPr>
            <sz val="9"/>
            <color indexed="81"/>
            <rFont val="Tahoma"/>
            <family val="2"/>
          </rPr>
          <t xml:space="preserve">
Same as Multi Phase Direct plus $25 for Loom Cable</t>
        </r>
      </text>
    </comment>
    <comment ref="C8" authorId="0">
      <text>
        <r>
          <rPr>
            <b/>
            <sz val="9"/>
            <color indexed="81"/>
            <rFont val="Tahoma"/>
            <family val="2"/>
          </rPr>
          <t>Rohan Harris:</t>
        </r>
        <r>
          <rPr>
            <sz val="9"/>
            <color indexed="81"/>
            <rFont val="Tahoma"/>
            <family val="2"/>
          </rPr>
          <t xml:space="preserve">
Have used the same ratio as single phase o/h, as Tenix does not offer an after hours rate for this service</t>
        </r>
      </text>
    </comment>
    <comment ref="H8" authorId="1">
      <text>
        <r>
          <rPr>
            <b/>
            <sz val="9"/>
            <color indexed="81"/>
            <rFont val="Tahoma"/>
            <family val="2"/>
          </rPr>
          <t>Eric Howie:</t>
        </r>
        <r>
          <rPr>
            <sz val="9"/>
            <color indexed="81"/>
            <rFont val="Tahoma"/>
            <family val="2"/>
          </rPr>
          <t xml:space="preserve">
Mid Span to be deleted. Volume is low.</t>
        </r>
      </text>
    </comment>
    <comment ref="I11" authorId="1">
      <text>
        <r>
          <rPr>
            <b/>
            <sz val="9"/>
            <color indexed="81"/>
            <rFont val="Tahoma"/>
            <family val="2"/>
          </rPr>
          <t>Eric Howie:</t>
        </r>
        <r>
          <rPr>
            <sz val="9"/>
            <color indexed="81"/>
            <rFont val="Tahoma"/>
            <family val="2"/>
          </rPr>
          <t xml:space="preserve">
Electrix Servicing charge plus EIV testing charge, refer note from Adam Duffield</t>
        </r>
      </text>
    </comment>
    <comment ref="AE11" authorId="1">
      <text>
        <r>
          <rPr>
            <b/>
            <sz val="9"/>
            <color indexed="81"/>
            <rFont val="Tahoma"/>
            <family val="2"/>
          </rPr>
          <t>Eric Howie:</t>
        </r>
        <r>
          <rPr>
            <sz val="9"/>
            <color indexed="81"/>
            <rFont val="Tahoma"/>
            <family val="2"/>
          </rPr>
          <t xml:space="preserve">
Same as Multi Phase Direct plus $25 for Loom Cable</t>
        </r>
      </text>
    </comment>
    <comment ref="C12" authorId="0">
      <text>
        <r>
          <rPr>
            <b/>
            <sz val="9"/>
            <color indexed="81"/>
            <rFont val="Tahoma"/>
            <family val="2"/>
          </rPr>
          <t>Rohan Harris:</t>
        </r>
        <r>
          <rPr>
            <sz val="9"/>
            <color indexed="81"/>
            <rFont val="Tahoma"/>
            <family val="2"/>
          </rPr>
          <t xml:space="preserve">
Have used the same ratio as single phase o/h, as Tenix does not offer an after hours rate for this service</t>
        </r>
      </text>
    </comment>
    <comment ref="C26" authorId="0">
      <text>
        <r>
          <rPr>
            <b/>
            <sz val="9"/>
            <color indexed="81"/>
            <rFont val="Tahoma"/>
            <family val="2"/>
          </rPr>
          <t>Rohan Harris:</t>
        </r>
        <r>
          <rPr>
            <sz val="9"/>
            <color indexed="81"/>
            <rFont val="Tahoma"/>
            <family val="2"/>
          </rPr>
          <t xml:space="preserve">
Based on a service truck visit</t>
        </r>
      </text>
    </comment>
  </commentList>
</comments>
</file>

<file path=xl/comments3.xml><?xml version="1.0" encoding="utf-8"?>
<comments xmlns="http://schemas.openxmlformats.org/spreadsheetml/2006/main">
  <authors>
    <author>Liz Ryan</author>
  </authors>
  <commentList>
    <comment ref="C8" authorId="0">
      <text>
        <r>
          <rPr>
            <b/>
            <sz val="9"/>
            <color indexed="81"/>
            <rFont val="Tahoma"/>
            <family val="2"/>
          </rPr>
          <t>Liz Ryan:</t>
        </r>
        <r>
          <rPr>
            <sz val="9"/>
            <color indexed="81"/>
            <rFont val="Tahoma"/>
            <family val="2"/>
          </rPr>
          <t xml:space="preserve">
Timings as per 2012 submission. All Adds and Alts service orders require manual review.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Liz Ryan:</t>
        </r>
        <r>
          <rPr>
            <sz val="9"/>
            <color indexed="81"/>
            <rFont val="Tahoma"/>
            <family val="2"/>
          </rPr>
          <t xml:space="preserve">
$28 per hour *1.75</t>
        </r>
      </text>
    </comment>
    <comment ref="K8" authorId="0">
      <text>
        <r>
          <rPr>
            <b/>
            <sz val="9"/>
            <color indexed="81"/>
            <rFont val="Tahoma"/>
            <family val="2"/>
          </rPr>
          <t>Liz Ryan:</t>
        </r>
        <r>
          <rPr>
            <sz val="9"/>
            <color indexed="81"/>
            <rFont val="Tahoma"/>
            <family val="2"/>
          </rPr>
          <t xml:space="preserve">
% used in 2012 submission</t>
        </r>
      </text>
    </comment>
    <comment ref="B18" authorId="0">
      <text>
        <r>
          <rPr>
            <b/>
            <sz val="9"/>
            <color indexed="81"/>
            <rFont val="Tahoma"/>
            <family val="2"/>
          </rPr>
          <t>Liz Ryan:</t>
        </r>
        <r>
          <rPr>
            <sz val="9"/>
            <color indexed="81"/>
            <rFont val="Tahoma"/>
            <family val="2"/>
          </rPr>
          <t xml:space="preserve">
Liz Ryan:
Represents 50% of total SO's completed in 2014 (12,610). </t>
        </r>
      </text>
    </comment>
    <comment ref="B19" authorId="0">
      <text>
        <r>
          <rPr>
            <b/>
            <sz val="9"/>
            <color indexed="81"/>
            <rFont val="Tahoma"/>
            <family val="2"/>
          </rPr>
          <t>Liz Ryan:</t>
        </r>
        <r>
          <rPr>
            <sz val="9"/>
            <color indexed="81"/>
            <rFont val="Tahoma"/>
            <family val="2"/>
          </rPr>
          <t xml:space="preserve">
It is assumed that 10% of eligible SO's will be routed locally, e.g. Multi meter site &amp; 25% will be rejected as per 2012 submission.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Liz Ryan:</t>
        </r>
        <r>
          <rPr>
            <sz val="9"/>
            <color indexed="81"/>
            <rFont val="Tahoma"/>
            <family val="2"/>
          </rPr>
          <t xml:space="preserve">
As per assumption in 2012 submission.</t>
        </r>
      </text>
    </comment>
  </commentList>
</comments>
</file>

<file path=xl/sharedStrings.xml><?xml version="1.0" encoding="utf-8"?>
<sst xmlns="http://schemas.openxmlformats.org/spreadsheetml/2006/main" count="693" uniqueCount="349">
  <si>
    <t>CUBE:</t>
  </si>
  <si>
    <t>Yr</t>
  </si>
  <si>
    <t>Company</t>
  </si>
  <si>
    <t>Work Code</t>
  </si>
  <si>
    <t>Cost Centre</t>
  </si>
  <si>
    <t>Measure</t>
  </si>
  <si>
    <t>Version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</si>
  <si>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</si>
  <si>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</si>
  <si>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</si>
  <si>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</si>
  <si>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</si>
  <si>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</si>
  <si>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</si>
  <si>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</si>
  <si>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</si>
  <si>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</si>
  <si>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</si>
  <si>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</si>
  <si>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Direct Labour - Salaries &amp; Wages</t>
  </si>
  <si>
    <t>Contract &amp; Temporary Staff</t>
  </si>
  <si>
    <t>Other Employee Expenses</t>
  </si>
  <si>
    <t>Labour</t>
  </si>
  <si>
    <t>Maintenance</t>
  </si>
  <si>
    <t>Administrative Expenses</t>
  </si>
  <si>
    <t>Travel</t>
  </si>
  <si>
    <t>IT &amp; Communications</t>
  </si>
  <si>
    <t>Operating Lease</t>
  </si>
  <si>
    <t>Training</t>
  </si>
  <si>
    <t>Administrative</t>
  </si>
  <si>
    <t>Materials</t>
  </si>
  <si>
    <t>Other Costs</t>
  </si>
  <si>
    <t>Contracts</t>
  </si>
  <si>
    <t>Insurance</t>
  </si>
  <si>
    <t>Motor Vehicle &amp; Mobile Plant</t>
  </si>
  <si>
    <t>Other Operating Expenses</t>
  </si>
  <si>
    <t>CY</t>
  </si>
  <si>
    <t>Payroll - Labour</t>
  </si>
  <si>
    <t>Temp Staff</t>
  </si>
  <si>
    <t>Reward &amp; Recognition</t>
  </si>
  <si>
    <t>Total Labour</t>
  </si>
  <si>
    <t>Repairs &amp; Maintenance</t>
  </si>
  <si>
    <t>Admin</t>
  </si>
  <si>
    <t>Mobiles</t>
  </si>
  <si>
    <t>Vehicle Lease</t>
  </si>
  <si>
    <t>Total Admin</t>
  </si>
  <si>
    <t>Office Expenses</t>
  </si>
  <si>
    <t>Contractor Services</t>
  </si>
  <si>
    <t>Vehicle Insurance</t>
  </si>
  <si>
    <t>Vehicle Running costs</t>
  </si>
  <si>
    <t>Total Other Costs</t>
  </si>
  <si>
    <t>Total Costs</t>
  </si>
  <si>
    <t>spa-tm1-prod:GL</t>
  </si>
  <si>
    <t>SP1</t>
  </si>
  <si>
    <t>462 Total</t>
  </si>
  <si>
    <t>I470 - Electricity Meter Reading</t>
  </si>
  <si>
    <t>Amount</t>
  </si>
  <si>
    <t>Actual</t>
  </si>
  <si>
    <t>FY-2009</t>
  </si>
  <si>
    <t>FY-2010</t>
  </si>
  <si>
    <t>FY-2011</t>
  </si>
  <si>
    <t>FY-2012</t>
  </si>
  <si>
    <t>FY-2013</t>
  </si>
  <si>
    <t>FY-2014</t>
  </si>
  <si>
    <t>FY-2015</t>
  </si>
  <si>
    <t>No Field Officer Visits NH</t>
  </si>
  <si>
    <t>No Field Officer Visits AH</t>
  </si>
  <si>
    <t>No Field Officer Visits Total</t>
  </si>
  <si>
    <t>Ave Cost per NH Visit</t>
  </si>
  <si>
    <t>Labour Escalation adopted</t>
  </si>
  <si>
    <t>Proportion of labour</t>
  </si>
  <si>
    <t>Final Rate</t>
  </si>
  <si>
    <t>Service</t>
  </si>
  <si>
    <t>Business Hours</t>
  </si>
  <si>
    <t>After Hours</t>
  </si>
  <si>
    <t>Routine new connections — AusNet Services responsible for metering, customers&lt;100amps</t>
  </si>
  <si>
    <t>Single Ø Overhead</t>
  </si>
  <si>
    <t>Single Ø Underground</t>
  </si>
  <si>
    <t>Multi Ø Overhead</t>
  </si>
  <si>
    <t>— Direct Connected Meter</t>
  </si>
  <si>
    <t>— CT Connected Meter</t>
  </si>
  <si>
    <t>Multi Ø Underground</t>
  </si>
  <si>
    <t>Routine new connections — AusNet Services not responsible for metering, customers&lt;100amps</t>
  </si>
  <si>
    <t>Other fee based connection services</t>
  </si>
  <si>
    <t>Temporary connections and disconnections</t>
  </si>
  <si>
    <t>Remote re-energisation and de-energisation</t>
  </si>
  <si>
    <t>Escalators</t>
  </si>
  <si>
    <t>Table of Contents</t>
  </si>
  <si>
    <t>CPI Escalation</t>
  </si>
  <si>
    <t>Table 1 - CPI Indexes</t>
  </si>
  <si>
    <t>Forecast</t>
  </si>
  <si>
    <t>Applies to year</t>
  </si>
  <si>
    <t>mid 2015</t>
  </si>
  <si>
    <t>End 2015</t>
  </si>
  <si>
    <t>CPI - 8 cities - Sept (old base), 1yr lagged</t>
  </si>
  <si>
    <t>CPI - 8 cities - Sept (rebased in Sep-12), 1yr lagged</t>
  </si>
  <si>
    <t>CPI movement - 8 Capital Cities</t>
  </si>
  <si>
    <t>$2014 to nominal</t>
  </si>
  <si>
    <t>End $2015 to Nominal</t>
  </si>
  <si>
    <t>Index - Nominal to End $2015</t>
  </si>
  <si>
    <t>Index - Nominal to $2014</t>
  </si>
  <si>
    <t>source: actual CPI to Sep-14 Qtr, forecast CPI from PTRM model</t>
  </si>
  <si>
    <t>Labour Escalation</t>
  </si>
  <si>
    <t>Labour Type</t>
  </si>
  <si>
    <t>Internal labour real rate</t>
  </si>
  <si>
    <t>As per CIE EGWWS WPI forecast for 2017-20; EBA rate prorated to full year applied to 2016</t>
  </si>
  <si>
    <t>Internal labour index</t>
  </si>
  <si>
    <t>External labour real rate</t>
  </si>
  <si>
    <t>As per CIE Construction WPI forecast for 2017-20; EBA rate prorated to full year applied to 2016</t>
  </si>
  <si>
    <t>External labour index</t>
  </si>
  <si>
    <t>Source: Labour escalators as per Opex model v5</t>
  </si>
  <si>
    <t>Material Escalation</t>
  </si>
  <si>
    <t>Material Escalation Rate</t>
  </si>
  <si>
    <t>Alum</t>
  </si>
  <si>
    <t>Copper</t>
  </si>
  <si>
    <t>Steel</t>
  </si>
  <si>
    <t>Assumed zero escalation for materials</t>
  </si>
  <si>
    <t>Crude Oil</t>
  </si>
  <si>
    <t>Other</t>
  </si>
  <si>
    <t>Spare</t>
  </si>
  <si>
    <t>Material Escalation Index</t>
  </si>
  <si>
    <t>source:  CY14 &amp; CY15 values from 'SPA Revised EDPR Capex Fcast Model 19 July 2010 (2011-15 EDPR).xls'</t>
  </si>
  <si>
    <t>Forecast index values to be sourced from available published information incl. other DB forecasts</t>
  </si>
  <si>
    <t>Labour category</t>
  </si>
  <si>
    <t>Service description</t>
  </si>
  <si>
    <t>$/hour rate – BH</t>
  </si>
  <si>
    <t>$/hour rate – AH</t>
  </si>
  <si>
    <t>Labour—wages</t>
  </si>
  <si>
    <t>Construction Overhead Install</t>
  </si>
  <si>
    <t>Construction Underground Install</t>
  </si>
  <si>
    <t>Construction Substation Install</t>
  </si>
  <si>
    <t>Electrical Tester Including Vehicle &amp; Equipment</t>
  </si>
  <si>
    <t>Planner Including Vehicle</t>
  </si>
  <si>
    <t>Supervisor Including Vehicle</t>
  </si>
  <si>
    <t>Labour—design</t>
  </si>
  <si>
    <t>Design</t>
  </si>
  <si>
    <t>Drafting</t>
  </si>
  <si>
    <t>Survey</t>
  </si>
  <si>
    <t>Tech Officer</t>
  </si>
  <si>
    <t>Line Inspector</t>
  </si>
  <si>
    <t>Contract Supervision</t>
  </si>
  <si>
    <t>Protection Engineer</t>
  </si>
  <si>
    <t>Base Year (2014) Figure</t>
  </si>
  <si>
    <t>Between Hours</t>
  </si>
  <si>
    <t>Assumed WACC for discounting purposes</t>
  </si>
  <si>
    <t>2016 Field Officer Fee</t>
  </si>
  <si>
    <t xml:space="preserve">Central </t>
  </si>
  <si>
    <t>Northern</t>
  </si>
  <si>
    <t>Eastern</t>
  </si>
  <si>
    <t>Proportion of customers in each region</t>
  </si>
  <si>
    <t>Time on-site to complete job (minutes)</t>
  </si>
  <si>
    <t>Rate per minute</t>
  </si>
  <si>
    <t>Weighted Average Starting Rate</t>
  </si>
  <si>
    <t>Calc rates for East/North based oCentral rate per minute</t>
  </si>
  <si>
    <t>Real non-materials costs</t>
  </si>
  <si>
    <t>Materials cost</t>
  </si>
  <si>
    <t>Average Travel (one-way minutes)</t>
  </si>
  <si>
    <t>Truck Appointment</t>
  </si>
  <si>
    <t>Truck Appointment - Disconnect/Reconnect only</t>
  </si>
  <si>
    <t>After-hours Fuse Insertion</t>
  </si>
  <si>
    <t>Reconnect Supply after a Fault</t>
  </si>
  <si>
    <t>Fault caused by 3rd party</t>
  </si>
  <si>
    <t>Wasted Visit</t>
  </si>
  <si>
    <t>After hours appointmnet</t>
  </si>
  <si>
    <t>Tenix Rate (NH)</t>
  </si>
  <si>
    <t>O/H New Connection, Single Phase</t>
  </si>
  <si>
    <t>O/H New Connection, Multi Phase</t>
  </si>
  <si>
    <t>O/H New Connection - Midpan service</t>
  </si>
  <si>
    <t>U/G New Connection, Single Phase</t>
  </si>
  <si>
    <t>U/G New Conection, Multi Phase</t>
  </si>
  <si>
    <t>Install 95mm LVABC Overhead Service</t>
  </si>
  <si>
    <t>Priorty Customer Connection</t>
  </si>
  <si>
    <t>New Connection Single/MultiPhase - Meter Install Only</t>
  </si>
  <si>
    <t>Install Dummy Meter</t>
  </si>
  <si>
    <t>Tenix Rate (AH)</t>
  </si>
  <si>
    <t>Potential Fee (NH)</t>
  </si>
  <si>
    <t>Tenix Service</t>
  </si>
  <si>
    <t>Potential fee (AH)</t>
  </si>
  <si>
    <t>Time spent on site :</t>
  </si>
  <si>
    <t>Job Type</t>
  </si>
  <si>
    <t>All Regions (hrs)</t>
  </si>
  <si>
    <t>Resources</t>
  </si>
  <si>
    <t>Material cost</t>
  </si>
  <si>
    <t>(direct ex store - Excludes stores on costs, overheads and meter)</t>
  </si>
  <si>
    <t>Materials with on cost 12% and o/h 14%</t>
  </si>
  <si>
    <t>Connection – 1ph O/H</t>
  </si>
  <si>
    <t>2 men + truck</t>
  </si>
  <si>
    <t>Connection – Multi ph O/H</t>
  </si>
  <si>
    <t>Connection – 1ph UG</t>
  </si>
  <si>
    <t>Connection – Multi ph UG</t>
  </si>
  <si>
    <t>Truck Visit</t>
  </si>
  <si>
    <t>n/a</t>
  </si>
  <si>
    <t>Truck appointment</t>
  </si>
  <si>
    <t>$73 est average</t>
  </si>
  <si>
    <t>Jobs per day Central</t>
  </si>
  <si>
    <t>?</t>
  </si>
  <si>
    <t>Jobs per day North &amp; East</t>
  </si>
  <si>
    <t>3 per crew</t>
  </si>
  <si>
    <t>12 total</t>
  </si>
  <si>
    <t>From Craig's email…</t>
  </si>
  <si>
    <t>Table X.3: Proposed Ancillary Services (Fee Based)</t>
  </si>
  <si>
    <t>Field officer visits</t>
  </si>
  <si>
    <t>Wasted Truck Visit</t>
  </si>
  <si>
    <t>From Submission</t>
  </si>
  <si>
    <t>Current Table in Submission</t>
  </si>
  <si>
    <t>Lineworker labour rate from EEPro - $86.62 + 14% O/H = $98.75/hr  (excludes vehicle costs)</t>
  </si>
  <si>
    <t>Market rate for lineworker (our hire in cost) = approx. $95/hr plus travel or living away allowances if applicable which adds an extra $30/hr – note will note apply in all cases depending on location of resource. Living away of $30 extra per hour would for country areas, there total country market rate $125.</t>
  </si>
  <si>
    <t>Maintenance Planner Including Vehicle</t>
  </si>
  <si>
    <t>Region</t>
  </si>
  <si>
    <t>No. Customers</t>
  </si>
  <si>
    <t>% Cust</t>
  </si>
  <si>
    <t>Ave Min to site</t>
  </si>
  <si>
    <t>Central</t>
  </si>
  <si>
    <t>North</t>
  </si>
  <si>
    <t>East</t>
  </si>
  <si>
    <t>North And East</t>
  </si>
  <si>
    <t>Total Network</t>
  </si>
  <si>
    <t>LV ABC</t>
  </si>
  <si>
    <t>Service truck visits</t>
  </si>
  <si>
    <t>TBC</t>
  </si>
  <si>
    <t>Total Hours Required to Complete Job (includes to/from site)</t>
  </si>
  <si>
    <t>Potential Fee (AH)</t>
  </si>
  <si>
    <t>Labour Rate of Technician (NH)</t>
  </si>
  <si>
    <t>Labour Rate of Technician (AH)</t>
  </si>
  <si>
    <t>O/H New Connection, Multi Phase CT Metered</t>
  </si>
  <si>
    <t>Hi Eric,</t>
  </si>
  <si>
    <t>Regards and Stay Safe</t>
  </si>
  <si>
    <t>Adam Duffield</t>
  </si>
  <si>
    <t>Service Provider Manager</t>
  </si>
  <si>
    <t>U/G New Connection, Multi Phase CT Metered</t>
  </si>
  <si>
    <t>Activation of renewable energy installation.</t>
  </si>
  <si>
    <t>4. No allowance has been made for meters on the mesh network as this has not been established at this time.</t>
  </si>
  <si>
    <t xml:space="preserve">7. Exception % supports 70% of eligible service orders being processed remotely without further manual
processing as per assumption in 2012 submission. </t>
  </si>
  <si>
    <t>2. Detailed breakdown as per re-en and de-en analysis has not been done so assumed 50% of total service orders are eligible for remote.</t>
  </si>
  <si>
    <t>1. SO volumes based on Adds and Alts solar service orders processed in 2014.</t>
  </si>
  <si>
    <t>Assumptions</t>
  </si>
  <si>
    <t>Total no. of  Reconfig SO's completed remotely  (70%)</t>
  </si>
  <si>
    <t>TOTAL Charge (Ex GST)</t>
  </si>
  <si>
    <t>Total no. of Reconfig SO's routed for remote.</t>
  </si>
  <si>
    <t>Total no. of Reconfig SO's eligible for remote services</t>
  </si>
  <si>
    <t>TOTAL (Ex GST)</t>
  </si>
  <si>
    <t>15 min per service order (see assumption 7 below)</t>
  </si>
  <si>
    <t>Back Office</t>
  </si>
  <si>
    <t>Remote exception management process handling</t>
  </si>
  <si>
    <t>5 min per service order (see assumption 7 below)</t>
  </si>
  <si>
    <t>Review and action exception where internal system response/acknowledgement has not been received</t>
  </si>
  <si>
    <t>12 min per service order</t>
  </si>
  <si>
    <t>Perform manual validation of service order including reconfig selection</t>
  </si>
  <si>
    <t>SERVICE  ORDER PROCESS STEPS (MANUAL ONLY)</t>
  </si>
  <si>
    <t>p.a</t>
  </si>
  <si>
    <t>Impacted p.a</t>
  </si>
  <si>
    <t>Impacted</t>
  </si>
  <si>
    <t>time</t>
  </si>
  <si>
    <t>Staff</t>
  </si>
  <si>
    <t>labour</t>
  </si>
  <si>
    <t>(hours)</t>
  </si>
  <si>
    <t>description</t>
  </si>
  <si>
    <t>Item</t>
  </si>
  <si>
    <t>Total cost</t>
  </si>
  <si>
    <t>No. SO</t>
  </si>
  <si>
    <t>SO %</t>
  </si>
  <si>
    <t>Total</t>
  </si>
  <si>
    <t xml:space="preserve">No. of </t>
  </si>
  <si>
    <t xml:space="preserve">Class of </t>
  </si>
  <si>
    <t>task</t>
  </si>
  <si>
    <t xml:space="preserve">Task </t>
  </si>
  <si>
    <t>Task</t>
  </si>
  <si>
    <t>Total cost BH (real $2015)</t>
  </si>
  <si>
    <t>Labour rate BH ($ p/hr) (real $2015)</t>
  </si>
  <si>
    <t>Time on</t>
  </si>
  <si>
    <t>Remote Reconfig Charges</t>
  </si>
  <si>
    <t>Per this meter type</t>
  </si>
  <si>
    <t>Multiphase current transformer connected</t>
  </si>
  <si>
    <t>Multiphase with contactor</t>
  </si>
  <si>
    <t xml:space="preserve">Multiphase </t>
  </si>
  <si>
    <t>Single phase two element with contactor</t>
  </si>
  <si>
    <t xml:space="preserve">Single phase single element </t>
  </si>
  <si>
    <t>Unit</t>
  </si>
  <si>
    <t>Category</t>
  </si>
  <si>
    <t>ALL IN  EXIT FEE - BY METER CLASS ($2015)</t>
  </si>
  <si>
    <t>Exchange meter for renewable energy installation. Single Phase Single element</t>
  </si>
  <si>
    <t>Exchange meter for renewable energy installation. Single Phase two element with contactor</t>
  </si>
  <si>
    <t>Exchange meter for renewable energy installation. Multi Phase CT Meter</t>
  </si>
  <si>
    <t>Exchange meter for renewable energy installation. Multi Phase direct connect meter with contactor</t>
  </si>
  <si>
    <t>Exchange meter for renewable energy installation. Multi Phase direct connect meter</t>
  </si>
  <si>
    <t>ReferenceID</t>
  </si>
  <si>
    <t>ComponentName</t>
  </si>
  <si>
    <t>EstimateUOM</t>
  </si>
  <si>
    <t>Cost</t>
  </si>
  <si>
    <t>CABLE ABC XLPE 25MM 2 CORE  (250M)</t>
  </si>
  <si>
    <t>MTR</t>
  </si>
  <si>
    <t>CABLE ABC XLPE 25MM 4 CORE</t>
  </si>
  <si>
    <t>CLAMP STRAIN 25MM ABC</t>
  </si>
  <si>
    <t>EA</t>
  </si>
  <si>
    <t>CLAMP STRAIN 35MM 3 &amp; 4 CORE</t>
  </si>
  <si>
    <t>CLAMP, SERVICE DISCONNECT, 2/C 25mm2</t>
  </si>
  <si>
    <t>CONNECTOR U/G PIT INSUL PIERCING TYPE 2 PORT</t>
  </si>
  <si>
    <t>CONNECTOR U/G PIT INSUL PIERCING TYPE 4 PORT</t>
  </si>
  <si>
    <t>FUSES LV  80A HRC</t>
  </si>
  <si>
    <t>TAG NEUTRAL POLYTHENE BLACK</t>
  </si>
  <si>
    <t>Single Phase Overhead connection</t>
  </si>
  <si>
    <t>Material ID</t>
  </si>
  <si>
    <t>Quantity</t>
  </si>
  <si>
    <t>Rate</t>
  </si>
  <si>
    <t>total</t>
  </si>
  <si>
    <t>CLAMP, SERVICE DISCONNECT, 2/C 25mm2 *</t>
  </si>
  <si>
    <t>*Assume service disconnect clamp used in 50% of cases</t>
  </si>
  <si>
    <t xml:space="preserve">Total </t>
  </si>
  <si>
    <t>Three Phase Overhead connection</t>
  </si>
  <si>
    <t>Single Phase Undergroundconnection</t>
  </si>
  <si>
    <t>CONNECTOR U/G PIT INSUL PIERCING TYPE 4 PORT**</t>
  </si>
  <si>
    <t>FUSES LV  80A HRC*</t>
  </si>
  <si>
    <t>** May only need connectors 50% of time</t>
  </si>
  <si>
    <t>REVISED INFO</t>
  </si>
  <si>
    <t>Source: Email from Craig Veldt to Eric Howie (Thursday, 2 April 2015 8:22 AM)</t>
  </si>
  <si>
    <t>Weighted Average Current Rate</t>
  </si>
  <si>
    <t>NPV Revenue same as above</t>
  </si>
  <si>
    <t>Single Phase</t>
  </si>
  <si>
    <t>Multi Phase</t>
  </si>
  <si>
    <t>Meter equipment test Single Phase</t>
  </si>
  <si>
    <t>Meter equipment test Single Phase additional meter</t>
  </si>
  <si>
    <t>Meter equipment test Multi Phase</t>
  </si>
  <si>
    <t>Meter equipment test Multi Phase Addiotional Meter</t>
  </si>
  <si>
    <t>Not applicable</t>
  </si>
  <si>
    <t>PV &amp; small generator installation pre-approval</t>
  </si>
  <si>
    <t>Labour Rate of Technical Officer (NH)</t>
  </si>
  <si>
    <t>Above 15kW</t>
  </si>
  <si>
    <t>Upto 15kW</t>
  </si>
  <si>
    <t>I have filled in the table below, however it doesn’t capture entirely what each department does. New connections receive, invoice, and register all small generators for pre-approval over 4.6kw.</t>
  </si>
  <si>
    <t>New connections conduct technical assessments for 4.6kW-15kW which equates to appro 1.25hours of work. Anything over 15kw gets sent to a design technician to conduct technical assessment. (These installations do not require a field visit)</t>
  </si>
  <si>
    <t>If the installation is in the following band 15kW-30kW the time spent is 1.5hours. (Most no field visit)</t>
  </si>
  <si>
    <t>30kW-100kW is 2 hours (field visit 2 hours + if required)</t>
  </si>
  <si>
    <t>100kw and over is 6-10 hours (field visit 2 hours +)</t>
  </si>
  <si>
    <t>Regards</t>
  </si>
  <si>
    <t>Amanda Hurley</t>
  </si>
  <si>
    <t>New Connections Team Lead</t>
  </si>
  <si>
    <t>Email: amanda.hurley@select-solutions.com.au </t>
  </si>
  <si>
    <t>www.select-solutions.com.au</t>
  </si>
  <si>
    <r>
      <t xml:space="preserve">Select Solutions </t>
    </r>
    <r>
      <rPr>
        <sz val="7.5"/>
        <color rgb="FF0000FF"/>
        <rFont val="Arial"/>
        <family val="2"/>
      </rPr>
      <t> I  </t>
    </r>
    <r>
      <rPr>
        <b/>
        <sz val="7.5"/>
        <color rgb="FF0000FF"/>
        <rFont val="Arial"/>
        <family val="2"/>
      </rPr>
      <t>A division of AusNet Services</t>
    </r>
  </si>
  <si>
    <r>
      <t>P</t>
    </r>
    <r>
      <rPr>
        <sz val="7.5"/>
        <color rgb="FF1F497D"/>
        <rFont val="Arial"/>
        <family val="2"/>
      </rPr>
      <t>:</t>
    </r>
    <r>
      <rPr>
        <b/>
        <sz val="7.5"/>
        <color rgb="FF1F497D"/>
        <rFont val="Arial"/>
        <family val="2"/>
      </rPr>
      <t xml:space="preserve"> +</t>
    </r>
    <r>
      <rPr>
        <sz val="7.5"/>
        <color rgb="FF1F497D"/>
        <rFont val="Arial"/>
        <family val="2"/>
      </rPr>
      <t>61 3</t>
    </r>
    <r>
      <rPr>
        <b/>
        <sz val="7.5"/>
        <color rgb="FF1F497D"/>
        <rFont val="Arial"/>
        <family val="2"/>
      </rPr>
      <t xml:space="preserve"> </t>
    </r>
    <r>
      <rPr>
        <sz val="7.5"/>
        <color rgb="FF1F497D"/>
        <rFont val="Arial"/>
        <family val="2"/>
      </rPr>
      <t xml:space="preserve">8467 2675 </t>
    </r>
    <r>
      <rPr>
        <b/>
        <sz val="7.5"/>
        <color rgb="FF1F497D"/>
        <rFont val="Arial"/>
        <family val="2"/>
      </rPr>
      <t>M</t>
    </r>
    <r>
      <rPr>
        <sz val="7.5"/>
        <color rgb="FF1F497D"/>
        <rFont val="Arial"/>
        <family val="2"/>
      </rPr>
      <t xml:space="preserve">: 0428 538 347 </t>
    </r>
  </si>
  <si>
    <r>
      <t>zero</t>
    </r>
    <r>
      <rPr>
        <b/>
        <i/>
        <sz val="9.5"/>
        <color rgb="FFFF8000"/>
        <rFont val="Arial"/>
        <family val="2"/>
      </rPr>
      <t xml:space="preserve"> injuries, </t>
    </r>
    <r>
      <rPr>
        <b/>
        <i/>
        <sz val="9.5"/>
        <color rgb="FF1F497D"/>
        <rFont val="Arial"/>
        <family val="2"/>
      </rPr>
      <t>zero</t>
    </r>
    <r>
      <rPr>
        <b/>
        <i/>
        <sz val="9.5"/>
        <color rgb="FFFF8000"/>
        <rFont val="Arial"/>
        <family val="2"/>
      </rPr>
      <t xml:space="preserve"> impacts, </t>
    </r>
    <r>
      <rPr>
        <b/>
        <i/>
        <sz val="9.5"/>
        <color rgb="FF1F497D"/>
        <rFont val="Arial"/>
        <family val="2"/>
      </rPr>
      <t>zero</t>
    </r>
    <r>
      <rPr>
        <b/>
        <i/>
        <sz val="9.5"/>
        <color rgb="FFFF8000"/>
        <rFont val="Arial"/>
        <family val="2"/>
      </rPr>
      <t xml:space="preserve"> tolerance, </t>
    </r>
    <r>
      <rPr>
        <b/>
        <i/>
        <sz val="9.5"/>
        <color rgb="FF1F497D"/>
        <rFont val="Arial"/>
        <family val="2"/>
      </rPr>
      <t>zero</t>
    </r>
    <r>
      <rPr>
        <b/>
        <i/>
        <sz val="9.5"/>
        <color rgb="FFFF8000"/>
        <rFont val="Arial"/>
        <family val="2"/>
      </rPr>
      <t xml:space="preserve"> compromise</t>
    </r>
  </si>
  <si>
    <r>
      <t>P</t>
    </r>
    <r>
      <rPr>
        <i/>
        <sz val="7.5"/>
        <color rgb="FF009900"/>
        <rFont val="Arial"/>
        <family val="2"/>
      </rPr>
      <t xml:space="preserve"> please consider the environment before printing this email</t>
    </r>
  </si>
  <si>
    <t>PV &amp; small generator installation pre-approval Up to 15kW</t>
  </si>
  <si>
    <t>PV &amp; small generator installation pre-approval 15 to 30kW</t>
  </si>
  <si>
    <t>X2 per crew</t>
  </si>
  <si>
    <t>Technical</t>
  </si>
  <si>
    <t>Engineer</t>
  </si>
  <si>
    <t>Field worker</t>
  </si>
  <si>
    <t>Senior Engineer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</si>
</sst>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00"/>
    <numFmt numFmtId="167" formatCode="0.0000"/>
    <numFmt numFmtId="168" formatCode="_(* #,##0_);_(* \(#,##0\);_(* &quot;-&quot;??_);_(@_)"/>
    <numFmt numFmtId="169" formatCode="_(* #,##0.00_);_(* \(#,##0.00\);_(* &quot;-&quot;??_);_(@_)"/>
    <numFmt numFmtId="170" formatCode="_(&quot;$&quot;* #,##0.00_);_(&quot;$&quot;* \(#,##0.00\);_(&quot;$&quot;* &quot;-&quot;??_);_(@_)"/>
  </numFmts>
  <fonts count="4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6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11"/>
      <color theme="3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Arial Narrow"/>
      <family val="2"/>
    </font>
    <font>
      <sz val="11"/>
      <color theme="1"/>
      <name val="Calibri"/>
      <family val="2"/>
    </font>
    <font>
      <sz val="10"/>
      <color rgb="FF000000"/>
      <name val="Verdana"/>
      <family val="2"/>
    </font>
    <font>
      <b/>
      <sz val="10"/>
      <color theme="0"/>
      <name val="Arial"/>
      <family val="2"/>
    </font>
    <font>
      <sz val="10"/>
      <color theme="1"/>
      <name val="Verdana"/>
      <family val="2"/>
    </font>
    <font>
      <sz val="11"/>
      <color rgb="FF1F497D"/>
      <name val="Calibri"/>
      <family val="2"/>
      <scheme val="minor"/>
    </font>
    <font>
      <sz val="11"/>
      <color rgb="FF1F497D"/>
      <name val="Symbol"/>
      <family val="1"/>
      <charset val="2"/>
    </font>
    <font>
      <sz val="10"/>
      <color theme="1"/>
      <name val="Times New Roman"/>
      <family val="1"/>
    </font>
    <font>
      <sz val="12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color rgb="FF1F497D"/>
      <name val="Calibri"/>
      <family val="2"/>
    </font>
    <font>
      <sz val="11"/>
      <color rgb="FF1F497D"/>
      <name val="Calibri"/>
      <family val="2"/>
    </font>
    <font>
      <b/>
      <sz val="11"/>
      <color rgb="FF002060"/>
      <name val="Arial"/>
      <family val="2"/>
    </font>
    <font>
      <b/>
      <sz val="10"/>
      <color rgb="FF777777"/>
      <name val="Arial"/>
      <family val="2"/>
    </font>
    <font>
      <b/>
      <sz val="1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b/>
      <sz val="11"/>
      <color rgb="FF00B050"/>
      <name val="Calibri"/>
      <family val="2"/>
      <scheme val="minor"/>
    </font>
    <font>
      <sz val="10"/>
      <color rgb="FF000000"/>
      <name val="Arial Narrow"/>
      <family val="2"/>
    </font>
    <font>
      <sz val="10"/>
      <name val="Arial"/>
      <family val="2"/>
    </font>
    <font>
      <b/>
      <sz val="7.5"/>
      <color rgb="FF1F497D"/>
      <name val="Arial"/>
      <family val="2"/>
    </font>
    <font>
      <sz val="7.5"/>
      <color rgb="FF1F497D"/>
      <name val="Arial"/>
      <family val="2"/>
    </font>
    <font>
      <b/>
      <sz val="7.5"/>
      <color rgb="FF0000FF"/>
      <name val="Arial"/>
      <family val="2"/>
    </font>
    <font>
      <sz val="7.5"/>
      <color rgb="FF0000FF"/>
      <name val="Arial"/>
      <family val="2"/>
    </font>
    <font>
      <b/>
      <i/>
      <sz val="9.5"/>
      <color rgb="FF1F497D"/>
      <name val="Arial"/>
      <family val="2"/>
    </font>
    <font>
      <b/>
      <i/>
      <sz val="9.5"/>
      <color rgb="FFFF8000"/>
      <name val="Arial"/>
      <family val="2"/>
    </font>
    <font>
      <i/>
      <sz val="7.5"/>
      <color rgb="FF009900"/>
      <name val="Webdings"/>
      <family val="1"/>
      <charset val="2"/>
    </font>
    <font>
      <i/>
      <sz val="7.5"/>
      <color rgb="FF009900"/>
      <name val="Arial"/>
      <family val="2"/>
    </font>
  </fonts>
  <fills count="19">
    <fill>
      <patternFill patternType="none"/>
    </fill>
    <fill>
      <patternFill patternType="gray125"/>
    </fill>
    <fill>
      <patternFill patternType="gray125">
        <bgColor rgb="FFE5E5E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9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6DCE4"/>
        <bgColor rgb="FF000000"/>
      </patternFill>
    </fill>
    <fill>
      <patternFill patternType="solid">
        <fgColor rgb="FF9BC2E6"/>
        <bgColor rgb="FF000000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0" fontId="32" fillId="13" borderId="0" applyNumberFormat="0" applyBorder="0" applyAlignment="0" applyProtection="0"/>
    <xf numFmtId="170" fontId="2" fillId="0" borderId="0" applyFont="0" applyFill="0" applyBorder="0" applyAlignment="0" applyProtection="0"/>
    <xf numFmtId="0" fontId="38" fillId="0" borderId="0"/>
  </cellStyleXfs>
  <cellXfs count="35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 indent="1"/>
    </xf>
    <xf numFmtId="0" fontId="3" fillId="0" borderId="0" xfId="0" applyFont="1" applyAlignment="1"/>
    <xf numFmtId="164" fontId="0" fillId="0" borderId="0" xfId="1" applyNumberFormat="1" applyFont="1"/>
    <xf numFmtId="0" fontId="3" fillId="0" borderId="0" xfId="0" applyFont="1" applyAlignment="1">
      <alignment horizontal="center"/>
    </xf>
    <xf numFmtId="164" fontId="3" fillId="0" borderId="0" xfId="1" applyNumberFormat="1" applyFont="1"/>
    <xf numFmtId="0" fontId="0" fillId="0" borderId="0" xfId="0" applyFont="1" applyAlignment="1"/>
    <xf numFmtId="164" fontId="3" fillId="0" borderId="1" xfId="0" applyNumberFormat="1" applyFont="1" applyBorder="1"/>
    <xf numFmtId="2" fontId="0" fillId="0" borderId="0" xfId="0" applyNumberFormat="1"/>
    <xf numFmtId="0" fontId="0" fillId="0" borderId="0" xfId="0" applyAlignment="1">
      <alignment horizontal="left"/>
    </xf>
    <xf numFmtId="0" fontId="0" fillId="0" borderId="0" xfId="0" applyNumberFormat="1"/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3" borderId="0" xfId="0" applyFont="1" applyFill="1"/>
    <xf numFmtId="0" fontId="0" fillId="3" borderId="0" xfId="0" applyFill="1"/>
    <xf numFmtId="0" fontId="9" fillId="3" borderId="0" xfId="4" applyFont="1" applyFill="1"/>
    <xf numFmtId="0" fontId="3" fillId="3" borderId="0" xfId="0" applyFont="1" applyFill="1"/>
    <xf numFmtId="0" fontId="0" fillId="3" borderId="19" xfId="0" applyFill="1" applyBorder="1"/>
    <xf numFmtId="17" fontId="0" fillId="3" borderId="19" xfId="0" applyNumberFormat="1" applyFill="1" applyBorder="1" applyAlignment="1">
      <alignment horizontal="center"/>
    </xf>
    <xf numFmtId="17" fontId="0" fillId="4" borderId="19" xfId="0" applyNumberForma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0" fillId="3" borderId="19" xfId="0" applyFont="1" applyFill="1" applyBorder="1" applyAlignment="1"/>
    <xf numFmtId="0" fontId="11" fillId="5" borderId="19" xfId="0" applyFont="1" applyFill="1" applyBorder="1" applyAlignment="1">
      <alignment horizontal="center"/>
    </xf>
    <xf numFmtId="165" fontId="0" fillId="5" borderId="19" xfId="0" applyNumberFormat="1" applyFill="1" applyBorder="1" applyAlignment="1"/>
    <xf numFmtId="165" fontId="0" fillId="3" borderId="19" xfId="0" applyNumberFormat="1" applyFill="1" applyBorder="1" applyAlignment="1"/>
    <xf numFmtId="2" fontId="0" fillId="3" borderId="19" xfId="0" applyNumberFormat="1" applyFill="1" applyBorder="1" applyAlignment="1"/>
    <xf numFmtId="10" fontId="0" fillId="3" borderId="19" xfId="3" applyNumberFormat="1" applyFont="1" applyFill="1" applyBorder="1"/>
    <xf numFmtId="10" fontId="0" fillId="6" borderId="19" xfId="3" applyNumberFormat="1" applyFont="1" applyFill="1" applyBorder="1"/>
    <xf numFmtId="166" fontId="0" fillId="3" borderId="19" xfId="0" applyNumberFormat="1" applyFill="1" applyBorder="1"/>
    <xf numFmtId="166" fontId="0" fillId="3" borderId="19" xfId="0" applyNumberFormat="1" applyFill="1" applyBorder="1" applyAlignment="1"/>
    <xf numFmtId="10" fontId="0" fillId="0" borderId="19" xfId="3" applyNumberFormat="1" applyFont="1" applyFill="1" applyBorder="1"/>
    <xf numFmtId="167" fontId="0" fillId="3" borderId="19" xfId="0" applyNumberFormat="1" applyFill="1" applyBorder="1"/>
    <xf numFmtId="166" fontId="0" fillId="0" borderId="19" xfId="0" applyNumberFormat="1" applyFill="1" applyBorder="1"/>
    <xf numFmtId="0" fontId="0" fillId="3" borderId="19" xfId="0" applyFont="1" applyFill="1" applyBorder="1"/>
    <xf numFmtId="0" fontId="11" fillId="3" borderId="0" xfId="0" applyFont="1" applyFill="1"/>
    <xf numFmtId="167" fontId="0" fillId="3" borderId="0" xfId="0" applyNumberFormat="1" applyFill="1"/>
    <xf numFmtId="10" fontId="0" fillId="3" borderId="0" xfId="3" applyNumberFormat="1" applyFont="1" applyFill="1"/>
    <xf numFmtId="0" fontId="0" fillId="3" borderId="19" xfId="0" applyFill="1" applyBorder="1" applyAlignment="1">
      <alignment horizontal="center"/>
    </xf>
    <xf numFmtId="10" fontId="0" fillId="3" borderId="19" xfId="0" applyNumberFormat="1" applyFill="1" applyBorder="1"/>
    <xf numFmtId="10" fontId="0" fillId="0" borderId="19" xfId="0" applyNumberFormat="1" applyFill="1" applyBorder="1"/>
    <xf numFmtId="10" fontId="0" fillId="8" borderId="19" xfId="3" applyNumberFormat="1" applyFont="1" applyFill="1" applyBorder="1"/>
    <xf numFmtId="0" fontId="0" fillId="3" borderId="0" xfId="0" applyFill="1" applyAlignment="1">
      <alignment horizontal="center"/>
    </xf>
    <xf numFmtId="9" fontId="0" fillId="3" borderId="0" xfId="0" applyNumberFormat="1" applyFill="1" applyAlignment="1"/>
    <xf numFmtId="0" fontId="4" fillId="3" borderId="0" xfId="0" applyFont="1" applyFill="1"/>
    <xf numFmtId="0" fontId="0" fillId="3" borderId="0" xfId="0" applyFill="1" applyAlignment="1">
      <alignment horizontal="right"/>
    </xf>
    <xf numFmtId="0" fontId="5" fillId="2" borderId="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justify" vertical="center" wrapText="1"/>
    </xf>
    <xf numFmtId="0" fontId="5" fillId="2" borderId="0" xfId="0" applyFont="1" applyFill="1" applyBorder="1" applyAlignment="1">
      <alignment horizontal="center" vertical="center" wrapText="1"/>
    </xf>
    <xf numFmtId="44" fontId="6" fillId="0" borderId="7" xfId="2" applyFont="1" applyBorder="1" applyAlignment="1">
      <alignment horizontal="justify" vertical="center" wrapText="1"/>
    </xf>
    <xf numFmtId="0" fontId="14" fillId="3" borderId="0" xfId="0" applyFont="1" applyFill="1"/>
    <xf numFmtId="0" fontId="14" fillId="3" borderId="20" xfId="0" applyFont="1" applyFill="1" applyBorder="1"/>
    <xf numFmtId="10" fontId="14" fillId="0" borderId="0" xfId="3" applyNumberFormat="1" applyFont="1"/>
    <xf numFmtId="0" fontId="3" fillId="9" borderId="20" xfId="0" applyNumberFormat="1" applyFont="1" applyFill="1" applyBorder="1"/>
    <xf numFmtId="0" fontId="14" fillId="0" borderId="0" xfId="0" applyFont="1"/>
    <xf numFmtId="0" fontId="15" fillId="2" borderId="2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44" fontId="14" fillId="0" borderId="7" xfId="2" applyFont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14" fillId="3" borderId="23" xfId="0" applyFont="1" applyFill="1" applyBorder="1"/>
    <xf numFmtId="0" fontId="14" fillId="3" borderId="25" xfId="0" applyFont="1" applyFill="1" applyBorder="1"/>
    <xf numFmtId="0" fontId="14" fillId="3" borderId="26" xfId="0" applyFont="1" applyFill="1" applyBorder="1"/>
    <xf numFmtId="0" fontId="14" fillId="3" borderId="27" xfId="0" applyFont="1" applyFill="1" applyBorder="1"/>
    <xf numFmtId="0" fontId="14" fillId="3" borderId="0" xfId="0" applyFont="1" applyFill="1" applyBorder="1"/>
    <xf numFmtId="0" fontId="14" fillId="3" borderId="28" xfId="0" applyFont="1" applyFill="1" applyBorder="1"/>
    <xf numFmtId="0" fontId="15" fillId="3" borderId="27" xfId="0" applyFont="1" applyFill="1" applyBorder="1"/>
    <xf numFmtId="0" fontId="15" fillId="3" borderId="0" xfId="0" applyFont="1" applyFill="1" applyBorder="1"/>
    <xf numFmtId="0" fontId="15" fillId="3" borderId="0" xfId="0" applyFont="1" applyFill="1" applyBorder="1" applyAlignment="1"/>
    <xf numFmtId="0" fontId="15" fillId="3" borderId="28" xfId="0" applyFont="1" applyFill="1" applyBorder="1"/>
    <xf numFmtId="44" fontId="14" fillId="3" borderId="27" xfId="2" applyFont="1" applyFill="1" applyBorder="1"/>
    <xf numFmtId="44" fontId="14" fillId="3" borderId="0" xfId="2" applyFont="1" applyFill="1" applyBorder="1"/>
    <xf numFmtId="44" fontId="14" fillId="3" borderId="0" xfId="0" applyNumberFormat="1" applyFont="1" applyFill="1" applyBorder="1"/>
    <xf numFmtId="44" fontId="14" fillId="3" borderId="28" xfId="0" applyNumberFormat="1" applyFont="1" applyFill="1" applyBorder="1"/>
    <xf numFmtId="9" fontId="14" fillId="3" borderId="0" xfId="0" applyNumberFormat="1" applyFont="1" applyFill="1" applyBorder="1"/>
    <xf numFmtId="44" fontId="14" fillId="3" borderId="24" xfId="2" applyFont="1" applyFill="1" applyBorder="1"/>
    <xf numFmtId="0" fontId="14" fillId="3" borderId="21" xfId="0" applyFont="1" applyFill="1" applyBorder="1"/>
    <xf numFmtId="0" fontId="14" fillId="3" borderId="7" xfId="0" applyFont="1" applyFill="1" applyBorder="1"/>
    <xf numFmtId="0" fontId="16" fillId="3" borderId="0" xfId="0" applyFont="1" applyFill="1" applyBorder="1"/>
    <xf numFmtId="9" fontId="16" fillId="3" borderId="0" xfId="3" applyFont="1" applyFill="1" applyBorder="1"/>
    <xf numFmtId="0" fontId="3" fillId="0" borderId="0" xfId="0" applyFont="1" applyAlignment="1">
      <alignment vertical="center"/>
    </xf>
    <xf numFmtId="0" fontId="17" fillId="0" borderId="26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8" fontId="17" fillId="0" borderId="7" xfId="0" applyNumberFormat="1" applyFont="1" applyBorder="1" applyAlignment="1">
      <alignment vertical="center" wrapText="1"/>
    </xf>
    <xf numFmtId="0" fontId="17" fillId="0" borderId="28" xfId="0" applyFont="1" applyBorder="1" applyAlignment="1">
      <alignment vertical="center" wrapText="1"/>
    </xf>
    <xf numFmtId="0" fontId="18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44" fontId="14" fillId="3" borderId="28" xfId="2" applyFont="1" applyFill="1" applyBorder="1"/>
    <xf numFmtId="9" fontId="16" fillId="3" borderId="0" xfId="0" applyNumberFormat="1" applyFont="1" applyFill="1" applyBorder="1"/>
    <xf numFmtId="0" fontId="0" fillId="10" borderId="0" xfId="0" applyFill="1"/>
    <xf numFmtId="0" fontId="0" fillId="10" borderId="0" xfId="0" applyNumberFormat="1" applyFill="1"/>
    <xf numFmtId="0" fontId="14" fillId="0" borderId="32" xfId="0" applyFont="1" applyBorder="1"/>
    <xf numFmtId="44" fontId="14" fillId="0" borderId="17" xfId="0" applyNumberFormat="1" applyFont="1" applyBorder="1"/>
    <xf numFmtId="44" fontId="14" fillId="0" borderId="31" xfId="0" applyNumberFormat="1" applyFont="1" applyBorder="1"/>
    <xf numFmtId="44" fontId="14" fillId="0" borderId="21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44" fontId="14" fillId="11" borderId="27" xfId="2" applyFont="1" applyFill="1" applyBorder="1"/>
    <xf numFmtId="0" fontId="14" fillId="11" borderId="0" xfId="0" applyFont="1" applyFill="1" applyBorder="1"/>
    <xf numFmtId="9" fontId="14" fillId="11" borderId="0" xfId="0" applyNumberFormat="1" applyFont="1" applyFill="1" applyBorder="1"/>
    <xf numFmtId="44" fontId="14" fillId="11" borderId="0" xfId="0" applyNumberFormat="1" applyFont="1" applyFill="1" applyBorder="1"/>
    <xf numFmtId="44" fontId="14" fillId="11" borderId="28" xfId="0" applyNumberFormat="1" applyFont="1" applyFill="1" applyBorder="1"/>
    <xf numFmtId="0" fontId="0" fillId="0" borderId="33" xfId="0" applyFont="1" applyBorder="1"/>
    <xf numFmtId="0" fontId="0" fillId="0" borderId="34" xfId="0" applyFont="1" applyBorder="1"/>
    <xf numFmtId="10" fontId="0" fillId="0" borderId="34" xfId="3" applyNumberFormat="1" applyFont="1" applyBorder="1"/>
    <xf numFmtId="1" fontId="0" fillId="0" borderId="35" xfId="0" applyNumberFormat="1" applyFont="1" applyBorder="1"/>
    <xf numFmtId="0" fontId="0" fillId="0" borderId="36" xfId="0" applyFont="1" applyBorder="1"/>
    <xf numFmtId="0" fontId="0" fillId="0" borderId="37" xfId="0" applyFont="1" applyBorder="1"/>
    <xf numFmtId="10" fontId="0" fillId="0" borderId="37" xfId="3" applyNumberFormat="1" applyFont="1" applyBorder="1"/>
    <xf numFmtId="1" fontId="0" fillId="0" borderId="38" xfId="0" applyNumberFormat="1" applyFont="1" applyBorder="1"/>
    <xf numFmtId="0" fontId="19" fillId="12" borderId="33" xfId="0" applyFont="1" applyFill="1" applyBorder="1"/>
    <xf numFmtId="0" fontId="19" fillId="12" borderId="34" xfId="0" applyFont="1" applyFill="1" applyBorder="1"/>
    <xf numFmtId="0" fontId="19" fillId="12" borderId="35" xfId="0" applyFont="1" applyFill="1" applyBorder="1"/>
    <xf numFmtId="43" fontId="14" fillId="3" borderId="24" xfId="1" applyFont="1" applyFill="1" applyBorder="1"/>
    <xf numFmtId="43" fontId="14" fillId="3" borderId="21" xfId="1" applyFont="1" applyFill="1" applyBorder="1"/>
    <xf numFmtId="43" fontId="14" fillId="3" borderId="7" xfId="1" applyFont="1" applyFill="1" applyBorder="1"/>
    <xf numFmtId="0" fontId="14" fillId="3" borderId="24" xfId="0" applyFont="1" applyFill="1" applyBorder="1"/>
    <xf numFmtId="9" fontId="14" fillId="3" borderId="24" xfId="3" applyFont="1" applyFill="1" applyBorder="1"/>
    <xf numFmtId="9" fontId="14" fillId="3" borderId="21" xfId="3" applyFont="1" applyFill="1" applyBorder="1"/>
    <xf numFmtId="9" fontId="14" fillId="3" borderId="7" xfId="3" applyFont="1" applyFill="1" applyBorder="1"/>
    <xf numFmtId="1" fontId="14" fillId="3" borderId="24" xfId="0" applyNumberFormat="1" applyFont="1" applyFill="1" applyBorder="1"/>
    <xf numFmtId="1" fontId="14" fillId="3" borderId="21" xfId="0" applyNumberFormat="1" applyFont="1" applyFill="1" applyBorder="1"/>
    <xf numFmtId="1" fontId="14" fillId="3" borderId="7" xfId="0" applyNumberFormat="1" applyFont="1" applyFill="1" applyBorder="1"/>
    <xf numFmtId="0" fontId="15" fillId="3" borderId="24" xfId="0" applyFont="1" applyFill="1" applyBorder="1" applyAlignment="1">
      <alignment horizontal="center"/>
    </xf>
    <xf numFmtId="0" fontId="15" fillId="3" borderId="21" xfId="0" applyFont="1" applyFill="1" applyBorder="1" applyAlignment="1">
      <alignment horizontal="center"/>
    </xf>
    <xf numFmtId="0" fontId="15" fillId="3" borderId="7" xfId="0" applyFont="1" applyFill="1" applyBorder="1" applyAlignment="1">
      <alignment horizontal="center"/>
    </xf>
    <xf numFmtId="44" fontId="14" fillId="3" borderId="30" xfId="2" applyFont="1" applyFill="1" applyBorder="1"/>
    <xf numFmtId="0" fontId="15" fillId="3" borderId="29" xfId="0" applyFont="1" applyFill="1" applyBorder="1" applyAlignment="1">
      <alignment horizontal="center"/>
    </xf>
    <xf numFmtId="44" fontId="14" fillId="3" borderId="30" xfId="0" applyNumberFormat="1" applyFont="1" applyFill="1" applyBorder="1" applyAlignment="1">
      <alignment horizontal="center"/>
    </xf>
    <xf numFmtId="0" fontId="15" fillId="3" borderId="30" xfId="0" applyFont="1" applyFill="1" applyBorder="1" applyAlignment="1">
      <alignment horizontal="center"/>
    </xf>
    <xf numFmtId="44" fontId="14" fillId="3" borderId="30" xfId="2" applyFont="1" applyFill="1" applyBorder="1" applyAlignment="1">
      <alignment vertical="center"/>
    </xf>
    <xf numFmtId="9" fontId="14" fillId="0" borderId="0" xfId="0" applyNumberFormat="1" applyFont="1"/>
    <xf numFmtId="0" fontId="14" fillId="0" borderId="47" xfId="0" applyFont="1" applyBorder="1" applyAlignment="1">
      <alignment horizontal="left" vertical="center" wrapText="1"/>
    </xf>
    <xf numFmtId="44" fontId="14" fillId="0" borderId="28" xfId="2" applyFont="1" applyBorder="1" applyAlignment="1">
      <alignment horizontal="center" vertical="center" wrapText="1"/>
    </xf>
    <xf numFmtId="0" fontId="14" fillId="11" borderId="5" xfId="0" applyFont="1" applyFill="1" applyBorder="1" applyAlignment="1">
      <alignment horizontal="left" vertical="center" wrapText="1"/>
    </xf>
    <xf numFmtId="44" fontId="14" fillId="11" borderId="7" xfId="2" applyFont="1" applyFill="1" applyBorder="1" applyAlignment="1">
      <alignment horizontal="center" vertical="center" wrapText="1"/>
    </xf>
    <xf numFmtId="44" fontId="14" fillId="11" borderId="21" xfId="0" applyNumberFormat="1" applyFont="1" applyFill="1" applyBorder="1" applyAlignment="1">
      <alignment horizontal="center" vertical="center" wrapText="1"/>
    </xf>
    <xf numFmtId="44" fontId="14" fillId="11" borderId="28" xfId="2" applyFont="1" applyFill="1" applyBorder="1" applyAlignment="1">
      <alignment horizontal="center" vertical="center" wrapText="1"/>
    </xf>
    <xf numFmtId="0" fontId="14" fillId="11" borderId="8" xfId="0" applyFont="1" applyFill="1" applyBorder="1" applyAlignment="1">
      <alignment horizontal="left" vertical="center" wrapText="1"/>
    </xf>
    <xf numFmtId="44" fontId="14" fillId="11" borderId="14" xfId="0" applyNumberFormat="1" applyFont="1" applyFill="1" applyBorder="1" applyAlignment="1">
      <alignment vertical="center" wrapText="1"/>
    </xf>
    <xf numFmtId="44" fontId="14" fillId="11" borderId="25" xfId="0" applyNumberFormat="1" applyFont="1" applyFill="1" applyBorder="1" applyAlignment="1">
      <alignment vertical="center" wrapText="1"/>
    </xf>
    <xf numFmtId="0" fontId="14" fillId="11" borderId="15" xfId="0" applyFont="1" applyFill="1" applyBorder="1" applyAlignment="1">
      <alignment vertical="center" wrapText="1"/>
    </xf>
    <xf numFmtId="0" fontId="14" fillId="11" borderId="24" xfId="0" applyFont="1" applyFill="1" applyBorder="1" applyAlignment="1">
      <alignment vertical="center" wrapText="1"/>
    </xf>
    <xf numFmtId="44" fontId="14" fillId="11" borderId="23" xfId="0" applyNumberFormat="1" applyFont="1" applyFill="1" applyBorder="1" applyAlignment="1">
      <alignment vertical="center" wrapText="1"/>
    </xf>
    <xf numFmtId="168" fontId="0" fillId="0" borderId="0" xfId="0" applyNumberFormat="1"/>
    <xf numFmtId="3" fontId="3" fillId="0" borderId="0" xfId="0" applyNumberFormat="1" applyFont="1"/>
    <xf numFmtId="3" fontId="0" fillId="0" borderId="0" xfId="0" applyNumberFormat="1"/>
    <xf numFmtId="169" fontId="2" fillId="0" borderId="0" xfId="5" applyFill="1" applyBorder="1"/>
    <xf numFmtId="169" fontId="2" fillId="0" borderId="0" xfId="5" applyFill="1"/>
    <xf numFmtId="0" fontId="0" fillId="0" borderId="0" xfId="0" applyFill="1"/>
    <xf numFmtId="0" fontId="31" fillId="0" borderId="0" xfId="0" applyFont="1" applyFill="1" applyBorder="1" applyAlignment="1">
      <alignment horizontal="right"/>
    </xf>
    <xf numFmtId="169" fontId="2" fillId="0" borderId="0" xfId="5" applyBorder="1"/>
    <xf numFmtId="0" fontId="3" fillId="0" borderId="0" xfId="0" applyFont="1" applyFill="1" applyBorder="1" applyAlignment="1">
      <alignment wrapText="1"/>
    </xf>
    <xf numFmtId="44" fontId="33" fillId="14" borderId="48" xfId="6" applyNumberFormat="1" applyFont="1" applyFill="1" applyBorder="1"/>
    <xf numFmtId="170" fontId="3" fillId="0" borderId="19" xfId="7" applyFont="1" applyFill="1" applyBorder="1"/>
    <xf numFmtId="170" fontId="2" fillId="0" borderId="19" xfId="7" applyBorder="1"/>
    <xf numFmtId="170" fontId="2" fillId="0" borderId="49" xfId="7" applyBorder="1"/>
    <xf numFmtId="169" fontId="2" fillId="0" borderId="48" xfId="5" applyFill="1" applyBorder="1"/>
    <xf numFmtId="0" fontId="0" fillId="0" borderId="48" xfId="0" applyFill="1" applyBorder="1"/>
    <xf numFmtId="0" fontId="3" fillId="0" borderId="48" xfId="0" applyFont="1" applyFill="1" applyBorder="1" applyAlignment="1">
      <alignment horizontal="right"/>
    </xf>
    <xf numFmtId="0" fontId="0" fillId="0" borderId="50" xfId="0" applyFill="1" applyBorder="1"/>
    <xf numFmtId="169" fontId="2" fillId="0" borderId="51" xfId="5" applyFill="1" applyBorder="1"/>
    <xf numFmtId="170" fontId="2" fillId="0" borderId="51" xfId="7" applyBorder="1"/>
    <xf numFmtId="169" fontId="2" fillId="0" borderId="42" xfId="5" applyBorder="1"/>
    <xf numFmtId="169" fontId="2" fillId="0" borderId="43" xfId="5" applyFill="1" applyBorder="1"/>
    <xf numFmtId="0" fontId="0" fillId="0" borderId="43" xfId="0" applyFill="1" applyBorder="1"/>
    <xf numFmtId="169" fontId="2" fillId="3" borderId="43" xfId="5" applyFill="1" applyBorder="1"/>
    <xf numFmtId="0" fontId="0" fillId="0" borderId="43" xfId="0" applyFill="1" applyBorder="1" applyAlignment="1">
      <alignment wrapText="1"/>
    </xf>
    <xf numFmtId="0" fontId="31" fillId="0" borderId="51" xfId="0" applyFont="1" applyFill="1" applyBorder="1" applyAlignment="1">
      <alignment horizontal="center"/>
    </xf>
    <xf numFmtId="170" fontId="2" fillId="0" borderId="43" xfId="7" applyFill="1" applyBorder="1"/>
    <xf numFmtId="168" fontId="2" fillId="0" borderId="43" xfId="5" applyNumberFormat="1" applyFill="1" applyBorder="1"/>
    <xf numFmtId="9" fontId="2" fillId="0" borderId="51" xfId="5" applyNumberFormat="1" applyFill="1" applyBorder="1" applyAlignment="1">
      <alignment horizontal="right"/>
    </xf>
    <xf numFmtId="169" fontId="2" fillId="0" borderId="51" xfId="5" applyBorder="1"/>
    <xf numFmtId="0" fontId="34" fillId="0" borderId="43" xfId="0" applyFont="1" applyFill="1" applyBorder="1" applyAlignment="1">
      <alignment wrapText="1"/>
    </xf>
    <xf numFmtId="0" fontId="0" fillId="0" borderId="51" xfId="0" applyBorder="1"/>
    <xf numFmtId="0" fontId="0" fillId="0" borderId="51" xfId="0" applyFill="1" applyBorder="1"/>
    <xf numFmtId="169" fontId="31" fillId="0" borderId="51" xfId="5" applyFont="1" applyFill="1" applyBorder="1"/>
    <xf numFmtId="0" fontId="0" fillId="0" borderId="52" xfId="0" applyBorder="1"/>
    <xf numFmtId="169" fontId="31" fillId="0" borderId="52" xfId="5" applyFont="1" applyBorder="1"/>
    <xf numFmtId="169" fontId="31" fillId="0" borderId="42" xfId="5" applyFont="1" applyBorder="1"/>
    <xf numFmtId="169" fontId="31" fillId="0" borderId="43" xfId="5" applyFont="1" applyFill="1" applyBorder="1"/>
    <xf numFmtId="0" fontId="31" fillId="0" borderId="43" xfId="0" applyFont="1" applyFill="1" applyBorder="1"/>
    <xf numFmtId="0" fontId="35" fillId="0" borderId="43" xfId="0" applyFont="1" applyFill="1" applyBorder="1"/>
    <xf numFmtId="0" fontId="31" fillId="0" borderId="51" xfId="0" applyFont="1" applyFill="1" applyBorder="1"/>
    <xf numFmtId="169" fontId="31" fillId="0" borderId="50" xfId="5" applyFont="1" applyFill="1" applyBorder="1" applyAlignment="1">
      <alignment horizontal="center"/>
    </xf>
    <xf numFmtId="0" fontId="34" fillId="0" borderId="50" xfId="0" applyFont="1" applyBorder="1"/>
    <xf numFmtId="0" fontId="34" fillId="0" borderId="44" xfId="0" applyFont="1" applyBorder="1"/>
    <xf numFmtId="169" fontId="31" fillId="0" borderId="46" xfId="5" applyFont="1" applyFill="1" applyBorder="1" applyAlignment="1">
      <alignment horizontal="center"/>
    </xf>
    <xf numFmtId="0" fontId="31" fillId="0" borderId="46" xfId="0" applyFont="1" applyFill="1" applyBorder="1" applyAlignment="1">
      <alignment horizontal="center"/>
    </xf>
    <xf numFmtId="0" fontId="31" fillId="0" borderId="46" xfId="0" applyFont="1" applyFill="1" applyBorder="1"/>
    <xf numFmtId="0" fontId="31" fillId="0" borderId="50" xfId="0" applyFont="1" applyFill="1" applyBorder="1"/>
    <xf numFmtId="169" fontId="31" fillId="0" borderId="51" xfId="5" applyFont="1" applyFill="1" applyBorder="1" applyAlignment="1">
      <alignment horizontal="center"/>
    </xf>
    <xf numFmtId="0" fontId="31" fillId="0" borderId="52" xfId="0" applyFont="1" applyBorder="1" applyAlignment="1">
      <alignment horizontal="center"/>
    </xf>
    <xf numFmtId="0" fontId="0" fillId="0" borderId="42" xfId="0" applyBorder="1"/>
    <xf numFmtId="169" fontId="31" fillId="0" borderId="43" xfId="5" applyFont="1" applyFill="1" applyBorder="1" applyAlignment="1">
      <alignment horizontal="center"/>
    </xf>
    <xf numFmtId="0" fontId="31" fillId="0" borderId="43" xfId="0" applyFont="1" applyFill="1" applyBorder="1" applyAlignment="1">
      <alignment horizontal="center"/>
    </xf>
    <xf numFmtId="169" fontId="2" fillId="0" borderId="52" xfId="5" applyFill="1" applyBorder="1" applyAlignment="1">
      <alignment horizontal="center"/>
    </xf>
    <xf numFmtId="0" fontId="31" fillId="0" borderId="19" xfId="0" applyFont="1" applyBorder="1" applyAlignment="1">
      <alignment horizontal="center" wrapText="1"/>
    </xf>
    <xf numFmtId="0" fontId="31" fillId="0" borderId="49" xfId="0" applyFont="1" applyBorder="1" applyAlignment="1">
      <alignment horizontal="center" wrapText="1"/>
    </xf>
    <xf numFmtId="0" fontId="31" fillId="0" borderId="39" xfId="0" applyFont="1" applyBorder="1" applyAlignment="1">
      <alignment horizontal="center"/>
    </xf>
    <xf numFmtId="169" fontId="2" fillId="0" borderId="41" xfId="5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31" fillId="0" borderId="41" xfId="0" applyFont="1" applyFill="1" applyBorder="1" applyAlignment="1">
      <alignment horizontal="center"/>
    </xf>
    <xf numFmtId="0" fontId="0" fillId="0" borderId="41" xfId="0" applyFill="1" applyBorder="1"/>
    <xf numFmtId="0" fontId="0" fillId="0" borderId="52" xfId="0" applyFill="1" applyBorder="1"/>
    <xf numFmtId="0" fontId="0" fillId="0" borderId="0" xfId="0" applyFill="1" applyBorder="1"/>
    <xf numFmtId="0" fontId="36" fillId="0" borderId="0" xfId="0" applyFont="1"/>
    <xf numFmtId="44" fontId="37" fillId="15" borderId="46" xfId="2" applyNumberFormat="1" applyFont="1" applyFill="1" applyBorder="1"/>
    <xf numFmtId="44" fontId="37" fillId="15" borderId="45" xfId="2" applyNumberFormat="1" applyFont="1" applyFill="1" applyBorder="1"/>
    <xf numFmtId="0" fontId="37" fillId="15" borderId="45" xfId="0" applyFont="1" applyFill="1" applyBorder="1"/>
    <xf numFmtId="0" fontId="37" fillId="15" borderId="44" xfId="0" applyFont="1" applyFill="1" applyBorder="1"/>
    <xf numFmtId="44" fontId="37" fillId="15" borderId="43" xfId="2" applyNumberFormat="1" applyFont="1" applyFill="1" applyBorder="1"/>
    <xf numFmtId="44" fontId="37" fillId="15" borderId="0" xfId="2" applyNumberFormat="1" applyFont="1" applyFill="1" applyBorder="1"/>
    <xf numFmtId="0" fontId="37" fillId="15" borderId="0" xfId="0" applyFont="1" applyFill="1" applyBorder="1"/>
    <xf numFmtId="0" fontId="37" fillId="15" borderId="42" xfId="0" applyFont="1" applyFill="1" applyBorder="1"/>
    <xf numFmtId="44" fontId="37" fillId="15" borderId="41" xfId="2" applyNumberFormat="1" applyFont="1" applyFill="1" applyBorder="1"/>
    <xf numFmtId="44" fontId="37" fillId="15" borderId="40" xfId="2" applyNumberFormat="1" applyFont="1" applyFill="1" applyBorder="1"/>
    <xf numFmtId="0" fontId="37" fillId="15" borderId="40" xfId="0" applyFont="1" applyFill="1" applyBorder="1"/>
    <xf numFmtId="0" fontId="37" fillId="15" borderId="39" xfId="0" applyFont="1" applyFill="1" applyBorder="1"/>
    <xf numFmtId="0" fontId="37" fillId="16" borderId="48" xfId="0" applyFont="1" applyFill="1" applyBorder="1" applyAlignment="1">
      <alignment horizontal="center"/>
    </xf>
    <xf numFmtId="0" fontId="37" fillId="16" borderId="53" xfId="0" applyFont="1" applyFill="1" applyBorder="1" applyAlignment="1">
      <alignment horizontal="center"/>
    </xf>
    <xf numFmtId="0" fontId="37" fillId="16" borderId="49" xfId="0" applyFont="1" applyFill="1" applyBorder="1" applyAlignment="1">
      <alignment horizontal="center"/>
    </xf>
    <xf numFmtId="0" fontId="17" fillId="15" borderId="0" xfId="0" applyFont="1" applyFill="1" applyBorder="1"/>
    <xf numFmtId="44" fontId="14" fillId="0" borderId="10" xfId="0" applyNumberFormat="1" applyFont="1" applyBorder="1" applyAlignment="1">
      <alignment horizontal="center" vertical="center" wrapText="1"/>
    </xf>
    <xf numFmtId="0" fontId="38" fillId="0" borderId="0" xfId="8"/>
    <xf numFmtId="0" fontId="31" fillId="0" borderId="0" xfId="8" applyFont="1"/>
    <xf numFmtId="0" fontId="31" fillId="0" borderId="19" xfId="8" applyFont="1" applyBorder="1"/>
    <xf numFmtId="0" fontId="38" fillId="0" borderId="19" xfId="8" applyBorder="1"/>
    <xf numFmtId="2" fontId="31" fillId="0" borderId="19" xfId="8" applyNumberFormat="1" applyFont="1" applyBorder="1"/>
    <xf numFmtId="8" fontId="14" fillId="3" borderId="0" xfId="0" applyNumberFormat="1" applyFont="1" applyFill="1" applyBorder="1"/>
    <xf numFmtId="8" fontId="14" fillId="3" borderId="0" xfId="2" applyNumberFormat="1" applyFont="1" applyFill="1" applyBorder="1"/>
    <xf numFmtId="165" fontId="14" fillId="3" borderId="0" xfId="0" applyNumberFormat="1" applyFont="1" applyFill="1" applyBorder="1"/>
    <xf numFmtId="44" fontId="14" fillId="3" borderId="14" xfId="0" applyNumberFormat="1" applyFont="1" applyFill="1" applyBorder="1" applyAlignment="1">
      <alignment vertical="center" wrapText="1"/>
    </xf>
    <xf numFmtId="44" fontId="14" fillId="3" borderId="25" xfId="0" applyNumberFormat="1" applyFont="1" applyFill="1" applyBorder="1" applyAlignment="1">
      <alignment vertical="center" wrapText="1"/>
    </xf>
    <xf numFmtId="0" fontId="14" fillId="3" borderId="15" xfId="0" applyFont="1" applyFill="1" applyBorder="1" applyAlignment="1">
      <alignment vertical="center" wrapText="1"/>
    </xf>
    <xf numFmtId="0" fontId="14" fillId="3" borderId="24" xfId="0" applyFont="1" applyFill="1" applyBorder="1" applyAlignment="1">
      <alignment vertical="center" wrapText="1"/>
    </xf>
    <xf numFmtId="44" fontId="14" fillId="3" borderId="23" xfId="0" applyNumberFormat="1" applyFont="1" applyFill="1" applyBorder="1" applyAlignment="1">
      <alignment vertical="center" wrapText="1"/>
    </xf>
    <xf numFmtId="44" fontId="14" fillId="3" borderId="7" xfId="0" applyNumberFormat="1" applyFont="1" applyFill="1" applyBorder="1" applyAlignment="1">
      <alignment horizontal="center" vertical="center" wrapText="1"/>
    </xf>
    <xf numFmtId="0" fontId="21" fillId="18" borderId="39" xfId="0" applyFont="1" applyFill="1" applyBorder="1" applyAlignment="1">
      <alignment vertical="center"/>
    </xf>
    <xf numFmtId="0" fontId="0" fillId="18" borderId="40" xfId="0" applyFill="1" applyBorder="1"/>
    <xf numFmtId="0" fontId="0" fillId="18" borderId="41" xfId="0" applyFill="1" applyBorder="1"/>
    <xf numFmtId="0" fontId="21" fillId="18" borderId="42" xfId="0" applyFont="1" applyFill="1" applyBorder="1" applyAlignment="1">
      <alignment vertical="center"/>
    </xf>
    <xf numFmtId="0" fontId="0" fillId="18" borderId="0" xfId="0" applyFill="1" applyBorder="1"/>
    <xf numFmtId="0" fontId="0" fillId="18" borderId="43" xfId="0" applyFill="1" applyBorder="1"/>
    <xf numFmtId="0" fontId="27" fillId="18" borderId="42" xfId="0" applyFont="1" applyFill="1" applyBorder="1" applyAlignment="1">
      <alignment vertical="center"/>
    </xf>
    <xf numFmtId="0" fontId="39" fillId="18" borderId="0" xfId="0" applyFont="1" applyFill="1" applyBorder="1" applyAlignment="1">
      <alignment vertical="center" wrapText="1"/>
    </xf>
    <xf numFmtId="0" fontId="41" fillId="18" borderId="0" xfId="0" applyFont="1" applyFill="1" applyBorder="1" applyAlignment="1">
      <alignment horizontal="left" vertical="center"/>
    </xf>
    <xf numFmtId="0" fontId="0" fillId="18" borderId="42" xfId="0" applyFill="1" applyBorder="1"/>
    <xf numFmtId="0" fontId="8" fillId="18" borderId="0" xfId="4" applyFill="1" applyBorder="1" applyAlignment="1">
      <alignment horizontal="left" vertical="center"/>
    </xf>
    <xf numFmtId="0" fontId="43" fillId="18" borderId="42" xfId="0" applyFont="1" applyFill="1" applyBorder="1" applyAlignment="1">
      <alignment vertical="center"/>
    </xf>
    <xf numFmtId="0" fontId="45" fillId="18" borderId="42" xfId="0" applyFont="1" applyFill="1" applyBorder="1" applyAlignment="1">
      <alignment vertical="center"/>
    </xf>
    <xf numFmtId="0" fontId="0" fillId="18" borderId="44" xfId="0" applyFill="1" applyBorder="1"/>
    <xf numFmtId="0" fontId="0" fillId="18" borderId="45" xfId="0" applyFill="1" applyBorder="1"/>
    <xf numFmtId="0" fontId="0" fillId="18" borderId="46" xfId="0" applyFill="1" applyBorder="1"/>
    <xf numFmtId="44" fontId="14" fillId="11" borderId="10" xfId="0" applyNumberFormat="1" applyFont="1" applyFill="1" applyBorder="1" applyAlignment="1">
      <alignment horizontal="center" vertical="center" wrapText="1"/>
    </xf>
    <xf numFmtId="0" fontId="17" fillId="0" borderId="30" xfId="0" applyFont="1" applyBorder="1" applyAlignment="1">
      <alignment vertical="center" wrapText="1"/>
    </xf>
    <xf numFmtId="0" fontId="15" fillId="3" borderId="0" xfId="0" applyFont="1" applyFill="1" applyBorder="1" applyAlignment="1">
      <alignment horizontal="center"/>
    </xf>
    <xf numFmtId="0" fontId="20" fillId="0" borderId="0" xfId="0" applyFont="1" applyAlignment="1">
      <alignment horizontal="left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11" borderId="16" xfId="0" applyFont="1" applyFill="1" applyBorder="1" applyAlignment="1">
      <alignment horizontal="left" vertical="center" wrapText="1"/>
    </xf>
    <xf numFmtId="0" fontId="14" fillId="11" borderId="17" xfId="0" applyFont="1" applyFill="1" applyBorder="1" applyAlignment="1">
      <alignment horizontal="left" vertical="center" wrapText="1"/>
    </xf>
    <xf numFmtId="0" fontId="15" fillId="3" borderId="0" xfId="0" applyFont="1" applyFill="1" applyBorder="1" applyAlignment="1">
      <alignment horizontal="center"/>
    </xf>
    <xf numFmtId="0" fontId="15" fillId="3" borderId="28" xfId="0" applyFont="1" applyFill="1" applyBorder="1" applyAlignment="1">
      <alignment horizontal="center"/>
    </xf>
    <xf numFmtId="0" fontId="17" fillId="0" borderId="29" xfId="0" applyFont="1" applyBorder="1" applyAlignment="1">
      <alignment vertical="center" wrapText="1"/>
    </xf>
    <xf numFmtId="0" fontId="17" fillId="0" borderId="30" xfId="0" applyFont="1" applyBorder="1" applyAlignment="1">
      <alignment vertical="center" wrapText="1"/>
    </xf>
    <xf numFmtId="0" fontId="15" fillId="3" borderId="23" xfId="0" applyFont="1" applyFill="1" applyBorder="1" applyAlignment="1">
      <alignment horizontal="center"/>
    </xf>
    <xf numFmtId="0" fontId="15" fillId="3" borderId="25" xfId="0" applyFont="1" applyFill="1" applyBorder="1" applyAlignment="1">
      <alignment horizontal="center"/>
    </xf>
    <xf numFmtId="0" fontId="15" fillId="3" borderId="26" xfId="0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 vertical="center" wrapText="1"/>
    </xf>
    <xf numFmtId="0" fontId="15" fillId="3" borderId="30" xfId="0" applyFont="1" applyFill="1" applyBorder="1" applyAlignment="1">
      <alignment horizontal="center" vertical="center" wrapText="1"/>
    </xf>
    <xf numFmtId="0" fontId="39" fillId="18" borderId="0" xfId="0" applyFont="1" applyFill="1" applyBorder="1" applyAlignment="1">
      <alignment horizontal="left" vertical="center"/>
    </xf>
    <xf numFmtId="0" fontId="40" fillId="18" borderId="0" xfId="0" applyFont="1" applyFill="1" applyBorder="1" applyAlignment="1">
      <alignment horizontal="left" vertical="center"/>
    </xf>
    <xf numFmtId="0" fontId="21" fillId="18" borderId="42" xfId="0" applyFont="1" applyFill="1" applyBorder="1" applyAlignment="1">
      <alignment horizontal="left" vertical="center" wrapText="1"/>
    </xf>
    <xf numFmtId="0" fontId="21" fillId="18" borderId="0" xfId="0" applyFont="1" applyFill="1" applyBorder="1" applyAlignment="1">
      <alignment horizontal="left" vertical="center" wrapText="1"/>
    </xf>
    <xf numFmtId="0" fontId="21" fillId="18" borderId="43" xfId="0" applyFont="1" applyFill="1" applyBorder="1" applyAlignment="1">
      <alignment horizontal="left" vertical="center" wrapText="1"/>
    </xf>
    <xf numFmtId="0" fontId="15" fillId="3" borderId="29" xfId="0" applyFont="1" applyFill="1" applyBorder="1" applyAlignment="1">
      <alignment horizontal="center" vertical="center"/>
    </xf>
    <xf numFmtId="0" fontId="15" fillId="3" borderId="30" xfId="0" applyFont="1" applyFill="1" applyBorder="1" applyAlignment="1">
      <alignment horizontal="center" vertical="center"/>
    </xf>
    <xf numFmtId="169" fontId="3" fillId="0" borderId="49" xfId="5" applyFont="1" applyFill="1" applyBorder="1" applyAlignment="1">
      <alignment horizontal="right"/>
    </xf>
    <xf numFmtId="0" fontId="3" fillId="0" borderId="48" xfId="0" applyFont="1" applyBorder="1" applyAlignment="1">
      <alignment horizontal="right"/>
    </xf>
    <xf numFmtId="0" fontId="37" fillId="17" borderId="49" xfId="0" applyFont="1" applyFill="1" applyBorder="1" applyAlignment="1">
      <alignment horizontal="center"/>
    </xf>
    <xf numFmtId="0" fontId="37" fillId="17" borderId="48" xfId="0" applyFont="1" applyFill="1" applyBorder="1" applyAlignment="1">
      <alignment horizontal="center"/>
    </xf>
    <xf numFmtId="166" fontId="0" fillId="0" borderId="19" xfId="0" applyNumberFormat="1" applyFill="1" applyBorder="1" applyAlignment="1"/>
    <xf numFmtId="44" fontId="14" fillId="7" borderId="0" xfId="2" applyFont="1" applyFill="1" applyBorder="1"/>
    <xf numFmtId="165" fontId="16" fillId="7" borderId="0" xfId="0" applyNumberFormat="1" applyFont="1" applyFill="1" applyBorder="1"/>
    <xf numFmtId="44" fontId="14" fillId="7" borderId="0" xfId="0" applyNumberFormat="1" applyFont="1" applyFill="1" applyBorder="1"/>
    <xf numFmtId="165" fontId="14" fillId="7" borderId="0" xfId="0" applyNumberFormat="1" applyFont="1" applyFill="1" applyBorder="1"/>
    <xf numFmtId="44" fontId="14" fillId="7" borderId="21" xfId="2" applyFont="1" applyFill="1" applyBorder="1"/>
    <xf numFmtId="165" fontId="16" fillId="7" borderId="21" xfId="0" applyNumberFormat="1" applyFont="1" applyFill="1" applyBorder="1"/>
    <xf numFmtId="0" fontId="14" fillId="7" borderId="21" xfId="0" applyFont="1" applyFill="1" applyBorder="1"/>
    <xf numFmtId="0" fontId="14" fillId="4" borderId="0" xfId="0" applyFont="1" applyFill="1"/>
    <xf numFmtId="0" fontId="19" fillId="12" borderId="0" xfId="0" applyFont="1" applyFill="1" applyBorder="1"/>
    <xf numFmtId="0" fontId="14" fillId="7" borderId="0" xfId="0" applyFont="1" applyFill="1"/>
    <xf numFmtId="1" fontId="0" fillId="0" borderId="0" xfId="0" applyNumberFormat="1" applyFont="1" applyBorder="1"/>
    <xf numFmtId="0" fontId="1" fillId="0" borderId="5" xfId="0" applyFont="1" applyBorder="1" applyAlignment="1">
      <alignment horizontal="justify" vertical="center" wrapText="1"/>
    </xf>
    <xf numFmtId="8" fontId="1" fillId="3" borderId="7" xfId="0" applyNumberFormat="1" applyFont="1" applyFill="1" applyBorder="1" applyAlignment="1">
      <alignment horizontal="right" vertical="center" wrapText="1"/>
    </xf>
    <xf numFmtId="44" fontId="1" fillId="3" borderId="6" xfId="0" applyNumberFormat="1" applyFont="1" applyFill="1" applyBorder="1" applyAlignment="1">
      <alignment horizontal="center" vertical="center" wrapText="1"/>
    </xf>
    <xf numFmtId="44" fontId="1" fillId="3" borderId="7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justify" vertical="center" wrapText="1"/>
    </xf>
    <xf numFmtId="44" fontId="1" fillId="3" borderId="10" xfId="0" applyNumberFormat="1" applyFont="1" applyFill="1" applyBorder="1" applyAlignment="1">
      <alignment horizontal="center" vertical="center" wrapText="1"/>
    </xf>
    <xf numFmtId="44" fontId="1" fillId="3" borderId="11" xfId="0" applyNumberFormat="1" applyFont="1" applyFill="1" applyBorder="1" applyAlignment="1">
      <alignment horizontal="center" vertical="center" wrapText="1"/>
    </xf>
    <xf numFmtId="0" fontId="21" fillId="3" borderId="39" xfId="0" applyFont="1" applyFill="1" applyBorder="1" applyAlignment="1">
      <alignment vertical="center"/>
    </xf>
    <xf numFmtId="0" fontId="0" fillId="3" borderId="40" xfId="0" applyFill="1" applyBorder="1"/>
    <xf numFmtId="0" fontId="0" fillId="3" borderId="41" xfId="0" applyFill="1" applyBorder="1"/>
    <xf numFmtId="0" fontId="21" fillId="3" borderId="42" xfId="0" applyFont="1" applyFill="1" applyBorder="1" applyAlignment="1">
      <alignment vertical="center"/>
    </xf>
    <xf numFmtId="0" fontId="0" fillId="3" borderId="0" xfId="0" applyFill="1" applyBorder="1"/>
    <xf numFmtId="0" fontId="0" fillId="3" borderId="43" xfId="0" applyFill="1" applyBorder="1"/>
    <xf numFmtId="0" fontId="21" fillId="7" borderId="42" xfId="0" applyFont="1" applyFill="1" applyBorder="1" applyAlignment="1">
      <alignment vertical="center"/>
    </xf>
    <xf numFmtId="0" fontId="0" fillId="7" borderId="0" xfId="0" applyFill="1" applyBorder="1"/>
    <xf numFmtId="0" fontId="0" fillId="7" borderId="43" xfId="0" applyFill="1" applyBorder="1"/>
    <xf numFmtId="0" fontId="22" fillId="7" borderId="42" xfId="0" applyFont="1" applyFill="1" applyBorder="1" applyAlignment="1">
      <alignment horizontal="left" vertical="center" indent="5"/>
    </xf>
    <xf numFmtId="0" fontId="25" fillId="7" borderId="42" xfId="0" applyFont="1" applyFill="1" applyBorder="1" applyAlignment="1">
      <alignment vertical="center" wrapText="1"/>
    </xf>
    <xf numFmtId="0" fontId="25" fillId="7" borderId="0" xfId="0" applyFont="1" applyFill="1" applyBorder="1" applyAlignment="1">
      <alignment vertical="center" wrapText="1"/>
    </xf>
    <xf numFmtId="0" fontId="25" fillId="7" borderId="43" xfId="0" applyFont="1" applyFill="1" applyBorder="1" applyAlignment="1">
      <alignment vertical="center" wrapText="1"/>
    </xf>
    <xf numFmtId="0" fontId="25" fillId="7" borderId="42" xfId="0" applyFont="1" applyFill="1" applyBorder="1" applyAlignment="1">
      <alignment vertical="center" wrapText="1"/>
    </xf>
    <xf numFmtId="0" fontId="25" fillId="7" borderId="0" xfId="0" applyFont="1" applyFill="1" applyBorder="1" applyAlignment="1">
      <alignment vertical="center" wrapText="1"/>
    </xf>
    <xf numFmtId="0" fontId="25" fillId="7" borderId="43" xfId="0" applyFont="1" applyFill="1" applyBorder="1" applyAlignment="1">
      <alignment vertical="center" wrapText="1"/>
    </xf>
    <xf numFmtId="0" fontId="26" fillId="7" borderId="42" xfId="0" applyFont="1" applyFill="1" applyBorder="1" applyAlignment="1">
      <alignment vertical="center" wrapText="1"/>
    </xf>
    <xf numFmtId="0" fontId="26" fillId="7" borderId="0" xfId="0" applyFont="1" applyFill="1" applyBorder="1" applyAlignment="1">
      <alignment vertical="center" wrapText="1"/>
    </xf>
    <xf numFmtId="8" fontId="24" fillId="7" borderId="0" xfId="0" applyNumberFormat="1" applyFont="1" applyFill="1" applyBorder="1" applyAlignment="1">
      <alignment vertical="center" wrapText="1"/>
    </xf>
    <xf numFmtId="8" fontId="24" fillId="7" borderId="43" xfId="0" applyNumberFormat="1" applyFont="1" applyFill="1" applyBorder="1" applyAlignment="1">
      <alignment vertical="center" wrapText="1"/>
    </xf>
    <xf numFmtId="0" fontId="23" fillId="7" borderId="42" xfId="0" applyFont="1" applyFill="1" applyBorder="1" applyAlignment="1">
      <alignment vertical="center" wrapText="1"/>
    </xf>
    <xf numFmtId="0" fontId="23" fillId="7" borderId="0" xfId="0" applyFont="1" applyFill="1" applyBorder="1" applyAlignment="1">
      <alignment vertical="center" wrapText="1"/>
    </xf>
    <xf numFmtId="0" fontId="23" fillId="7" borderId="43" xfId="0" applyFont="1" applyFill="1" applyBorder="1" applyAlignment="1">
      <alignment vertical="center" wrapText="1"/>
    </xf>
    <xf numFmtId="0" fontId="27" fillId="7" borderId="42" xfId="0" applyFont="1" applyFill="1" applyBorder="1" applyAlignment="1">
      <alignment vertical="center"/>
    </xf>
    <xf numFmtId="0" fontId="28" fillId="7" borderId="42" xfId="0" applyFont="1" applyFill="1" applyBorder="1" applyAlignment="1">
      <alignment horizontal="left" vertical="center" wrapText="1"/>
    </xf>
    <xf numFmtId="0" fontId="28" fillId="7" borderId="0" xfId="0" applyFont="1" applyFill="1" applyBorder="1" applyAlignment="1">
      <alignment horizontal="left" vertical="center" wrapText="1"/>
    </xf>
    <xf numFmtId="0" fontId="28" fillId="7" borderId="43" xfId="0" applyFont="1" applyFill="1" applyBorder="1" applyAlignment="1">
      <alignment horizontal="left" vertical="center" wrapText="1"/>
    </xf>
    <xf numFmtId="0" fontId="28" fillId="7" borderId="42" xfId="0" applyFont="1" applyFill="1" applyBorder="1" applyAlignment="1">
      <alignment vertical="center"/>
    </xf>
    <xf numFmtId="0" fontId="29" fillId="3" borderId="42" xfId="0" applyFont="1" applyFill="1" applyBorder="1" applyAlignment="1">
      <alignment vertical="center"/>
    </xf>
    <xf numFmtId="0" fontId="30" fillId="3" borderId="44" xfId="0" applyFont="1" applyFill="1" applyBorder="1" applyAlignment="1">
      <alignment vertical="center"/>
    </xf>
    <xf numFmtId="0" fontId="0" fillId="3" borderId="45" xfId="0" applyFill="1" applyBorder="1"/>
    <xf numFmtId="0" fontId="0" fillId="3" borderId="46" xfId="0" applyFill="1" applyBorder="1"/>
    <xf numFmtId="44" fontId="14" fillId="0" borderId="21" xfId="0" applyNumberFormat="1" applyFont="1" applyFill="1" applyBorder="1" applyAlignment="1">
      <alignment horizontal="center" vertical="center" wrapText="1"/>
    </xf>
    <xf numFmtId="44" fontId="14" fillId="0" borderId="0" xfId="2" applyFont="1" applyFill="1" applyBorder="1"/>
    <xf numFmtId="1" fontId="14" fillId="3" borderId="24" xfId="0" quotePrefix="1" applyNumberFormat="1" applyFont="1" applyFill="1" applyBorder="1"/>
    <xf numFmtId="44" fontId="14" fillId="0" borderId="0" xfId="0" applyNumberFormat="1" applyFont="1" applyFill="1"/>
    <xf numFmtId="44" fontId="14" fillId="0" borderId="0" xfId="0" applyNumberFormat="1" applyFont="1" applyFill="1" applyBorder="1"/>
  </cellXfs>
  <cellStyles count="9">
    <cellStyle name="Accent6 2" xfId="6"/>
    <cellStyle name="Comma" xfId="1" builtinId="3"/>
    <cellStyle name="Comma 2" xfId="5"/>
    <cellStyle name="Currency" xfId="2" builtinId="4"/>
    <cellStyle name="Currency 2" xfId="7"/>
    <cellStyle name="Hyperlink" xfId="4" builtinId="8"/>
    <cellStyle name="Normal" xfId="0" builtinId="0"/>
    <cellStyle name="Normal 2" xfId="8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062E5.8BA2CEC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2.gif@01D07695.CB0BB090" TargetMode="External"/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104775</xdr:colOff>
      <xdr:row>29</xdr:row>
      <xdr:rowOff>47625</xdr:rowOff>
    </xdr:from>
    <xdr:to>
      <xdr:col>11</xdr:col>
      <xdr:colOff>561975</xdr:colOff>
      <xdr:row>35</xdr:row>
      <xdr:rowOff>152400</xdr:rowOff>
    </xdr:to>
    <xdr:sp macro="" textlink="">
      <xdr:nvSpPr>
        <xdr:cNvPr id="2" name="Right Brace 1"/>
        <xdr:cNvSpPr/>
      </xdr:nvSpPr>
      <xdr:spPr>
        <a:xfrm>
          <a:off x="9350375" y="5426075"/>
          <a:ext cx="457200" cy="12096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174112</xdr:colOff>
      <xdr:row>26</xdr:row>
      <xdr:rowOff>51209</xdr:rowOff>
    </xdr:from>
    <xdr:to>
      <xdr:col>15</xdr:col>
      <xdr:colOff>555112</xdr:colOff>
      <xdr:row>40</xdr:row>
      <xdr:rowOff>184559</xdr:rowOff>
    </xdr:to>
    <xdr:pic>
      <xdr:nvPicPr>
        <xdr:cNvPr id="5" name="Picture 2" descr="cid:image002.png@01D062E5.8BA2CEC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5241" y="6913306"/>
          <a:ext cx="5614629" cy="2857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</xdr:colOff>
      <xdr:row>31</xdr:row>
      <xdr:rowOff>190499</xdr:rowOff>
    </xdr:from>
    <xdr:to>
      <xdr:col>23</xdr:col>
      <xdr:colOff>90013</xdr:colOff>
      <xdr:row>37</xdr:row>
      <xdr:rowOff>180974</xdr:rowOff>
    </xdr:to>
    <xdr:pic>
      <xdr:nvPicPr>
        <xdr:cNvPr id="4" name="6fcbaefe-a7fb-4493-acc4-d8a1b23403a4" descr="cid:FE130632-9BD9-4C18-995D-610067CE945B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21177" y="6238874"/>
          <a:ext cx="1918811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han/AppData/Local/Microsoft/Windows/INetCache/Content.Outlook/MW5SH6T3/Reset%20RIN/Final%20RIN%20update%20Jan%202015/Victorian%20DNSP%202016-20%20-%20Reset%20RIN%20templates%20-%20January%20201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chfil100\networks\Regulation\Price%20Review\2016-20%20EDPR\10.0%202016%20EDPR%20-%20Modelling\10.1%20Internal%20Modelling\Capex%20Forecast%20Model\Capex%20Model_EDPR%202016-20_Propsal%20Case%20(11.03.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structions"/>
      <sheetName val="1.0 Business &amp; other details"/>
      <sheetName val="2.1 Expenditure summary"/>
      <sheetName val="2.2 Repex"/>
      <sheetName val="2.3 Augex"/>
      <sheetName val="2.4 Augex model"/>
      <sheetName val="2.5 Connections"/>
      <sheetName val="2.6 Non-network"/>
      <sheetName val="2.10 Overheads"/>
      <sheetName val="2.11 Labour"/>
      <sheetName val="2.12 Input tables"/>
      <sheetName val="2.13 Provisions"/>
      <sheetName val="2.14 Forecast price changes"/>
      <sheetName val="2.15 Insurance &amp; Self-insurance"/>
      <sheetName val="2.16 Opex Summary"/>
      <sheetName val="2.17 Step Changes"/>
      <sheetName val="3.1 Revenue"/>
      <sheetName val="3.2 Operating expenditure"/>
      <sheetName val="3.3 Assets (RAB)"/>
      <sheetName val="3.4 Operational data"/>
      <sheetName val="3.5 Physical assets"/>
      <sheetName val="3.6 Quality of service"/>
      <sheetName val="3.7 Operating Environment"/>
      <sheetName val="4.1 Public lighting"/>
      <sheetName val="4.2 Metering"/>
      <sheetName val="4.3 Fee-based services"/>
      <sheetName val="4.4 Quoted services."/>
      <sheetName val="5.3 MD - Network level"/>
      <sheetName val="5.4 MD &amp; utilisation-Spatial"/>
      <sheetName val="6.1 Telephone answering"/>
      <sheetName val="6.2 Reliability &amp; Cust serv"/>
      <sheetName val="6.4 Historical MEDs"/>
      <sheetName val="7.1  Policies and Procedures"/>
      <sheetName val="7.2 Contingent projects"/>
      <sheetName val="7.3 Obligations"/>
      <sheetName val="7.4 Shared Assets"/>
      <sheetName val="7.5 EBSS"/>
      <sheetName val="7.6 Indicative bill impact"/>
      <sheetName val="Unprotected Worksheet"/>
    </sheetNames>
    <sheetDataSet>
      <sheetData sheetId="0" refreshError="1"/>
      <sheetData sheetId="1" refreshError="1"/>
      <sheetData sheetId="2">
        <row r="35">
          <cell r="C35" t="str">
            <v>2016</v>
          </cell>
          <cell r="D35" t="str">
            <v>2017</v>
          </cell>
          <cell r="E35" t="str">
            <v>2018</v>
          </cell>
          <cell r="F35" t="str">
            <v>2019</v>
          </cell>
          <cell r="G35" t="str">
            <v>2020</v>
          </cell>
        </row>
        <row r="38">
          <cell r="G38" t="str">
            <v>2015</v>
          </cell>
        </row>
        <row r="55">
          <cell r="C55" t="str">
            <v>December 2015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ptions"/>
      <sheetName val="Lookups -&gt;"/>
      <sheetName val="Escalators"/>
      <sheetName val="Lab_Mat"/>
      <sheetName val="Rpt_Cat"/>
      <sheetName val="Spare"/>
      <sheetName val="Inputs -&gt;"/>
      <sheetName val="Augmentation"/>
      <sheetName val="Connections"/>
      <sheetName val="Major_Rebuilds"/>
      <sheetName val="Stations"/>
      <sheetName val="Lines"/>
      <sheetName val="PC&amp;A"/>
      <sheetName val="SCADA&amp;Comms"/>
      <sheetName val="ESL_1"/>
      <sheetName val="ESL_2"/>
      <sheetName val="ICT"/>
      <sheetName val="Other_General"/>
      <sheetName val="Aggregations &amp; Alloc -&gt;"/>
      <sheetName val="Base_Forecast"/>
      <sheetName val="Reg_Forecasts"/>
      <sheetName val="Tenix_Overhead"/>
      <sheetName val="RIN_Direct_Forecast"/>
      <sheetName val="AusNet_Overheads"/>
      <sheetName val="Reg_Fcast_Total"/>
      <sheetName val="Outputs -&gt;"/>
      <sheetName val="RFM_PTRM"/>
      <sheetName val="TAB"/>
      <sheetName val="ESC_Cat"/>
      <sheetName val="Charts"/>
      <sheetName val="RIN Template -&gt;"/>
      <sheetName val="2.1 Exp Summary"/>
      <sheetName val="2.6 Non-Network"/>
      <sheetName val="2.10 Overheads"/>
      <sheetName val="2.12 Input Tables"/>
      <sheetName val="2.17 Step Changes"/>
      <sheetName val="Other -&gt;"/>
      <sheetName val="Repex_Analysis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C5">
            <v>1000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select-solutions.com.au/" TargetMode="External"/><Relationship Id="rId1" Type="http://schemas.openxmlformats.org/officeDocument/2006/relationships/hyperlink" Target="mailto:amanda.hurley@select-solutions.com.au" TargetMode="External"/><Relationship Id="rId4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C3:D4"/>
  <sheetViews>
    <sheetView tabSelected="1" zoomScale="104" zoomScaleNormal="104" workbookViewId="0">
      <selection activeCell="D4" sqref="D4"/>
    </sheetView>
  </sheetViews>
  <sheetFormatPr defaultColWidth="8.7109375" defaultRowHeight="12.75" x14ac:dyDescent="0.2"/>
  <cols>
    <col min="1" max="2" width="8.7109375" style="55"/>
    <col min="3" max="3" width="35.7109375" style="55" bestFit="1" customWidth="1"/>
    <col min="4" max="16384" width="8.7109375" style="55"/>
  </cols>
  <sheetData>
    <row r="3" spans="3:4" ht="13.5" thickBot="1" x14ac:dyDescent="0.25"/>
    <row r="4" spans="3:4" ht="13.5" thickBot="1" x14ac:dyDescent="0.25">
      <c r="C4" s="56" t="s">
        <v>144</v>
      </c>
      <c r="D4" s="57">
        <v>7.4999999999999997E-2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Q51"/>
  <sheetViews>
    <sheetView zoomScale="93" zoomScaleNormal="93" zoomScalePageLayoutView="125" workbookViewId="0">
      <selection activeCell="E24" sqref="E24"/>
    </sheetView>
  </sheetViews>
  <sheetFormatPr defaultColWidth="8.85546875" defaultRowHeight="15" x14ac:dyDescent="0.25"/>
  <cols>
    <col min="1" max="1" width="4.7109375" style="16" customWidth="1"/>
    <col min="2" max="2" width="8.140625" style="16" customWidth="1"/>
    <col min="3" max="3" width="46.7109375" style="16" customWidth="1"/>
    <col min="4" max="4" width="9.28515625" style="16" customWidth="1"/>
    <col min="5" max="5" width="9.42578125" style="16" customWidth="1"/>
    <col min="6" max="9" width="8.85546875" style="16"/>
    <col min="10" max="10" width="9.42578125" style="16" customWidth="1"/>
    <col min="11" max="11" width="9.28515625" style="16" customWidth="1"/>
    <col min="12" max="12" width="8.85546875" style="16" customWidth="1"/>
    <col min="13" max="13" width="8.28515625" style="16" customWidth="1"/>
    <col min="14" max="16384" width="8.85546875" style="16"/>
  </cols>
  <sheetData>
    <row r="1" spans="2:17" ht="21" x14ac:dyDescent="0.35">
      <c r="B1" s="15" t="s">
        <v>86</v>
      </c>
    </row>
    <row r="2" spans="2:17" x14ac:dyDescent="0.25">
      <c r="B2" s="17" t="s">
        <v>87</v>
      </c>
    </row>
    <row r="4" spans="2:17" x14ac:dyDescent="0.25">
      <c r="B4" s="18" t="s">
        <v>88</v>
      </c>
    </row>
    <row r="5" spans="2:17" x14ac:dyDescent="0.25">
      <c r="B5" s="18"/>
    </row>
    <row r="6" spans="2:17" x14ac:dyDescent="0.25">
      <c r="B6" s="18"/>
      <c r="C6" s="19" t="s">
        <v>89</v>
      </c>
      <c r="D6" s="20">
        <v>39721</v>
      </c>
      <c r="E6" s="20">
        <f>EDATE(D6,12)</f>
        <v>40086</v>
      </c>
      <c r="F6" s="20">
        <f t="shared" ref="F6:I6" si="0">EDATE(E6,12)</f>
        <v>40451</v>
      </c>
      <c r="G6" s="20">
        <f t="shared" si="0"/>
        <v>40816</v>
      </c>
      <c r="H6" s="20">
        <f t="shared" si="0"/>
        <v>41182</v>
      </c>
      <c r="I6" s="20">
        <f t="shared" si="0"/>
        <v>41547</v>
      </c>
      <c r="J6" s="20">
        <f>EDATE(I6,12)</f>
        <v>41912</v>
      </c>
      <c r="K6" s="21">
        <v>42094</v>
      </c>
      <c r="L6" s="20">
        <f>EDATE(J6,12)</f>
        <v>42277</v>
      </c>
      <c r="M6" s="20">
        <f>EDATE(L6,12)</f>
        <v>42643</v>
      </c>
      <c r="N6" s="20">
        <f t="shared" ref="N6:Q6" si="1">EDATE(M6,12)</f>
        <v>43008</v>
      </c>
      <c r="O6" s="20">
        <f t="shared" si="1"/>
        <v>43373</v>
      </c>
      <c r="P6" s="20">
        <f t="shared" si="1"/>
        <v>43738</v>
      </c>
      <c r="Q6" s="20">
        <f t="shared" si="1"/>
        <v>44104</v>
      </c>
    </row>
    <row r="7" spans="2:17" x14ac:dyDescent="0.25">
      <c r="B7" s="18"/>
      <c r="C7" s="19"/>
      <c r="D7" s="20" t="s">
        <v>57</v>
      </c>
      <c r="E7" s="20" t="s">
        <v>57</v>
      </c>
      <c r="F7" s="20" t="s">
        <v>57</v>
      </c>
      <c r="G7" s="20" t="s">
        <v>57</v>
      </c>
      <c r="H7" s="20" t="s">
        <v>57</v>
      </c>
      <c r="I7" s="20" t="s">
        <v>57</v>
      </c>
      <c r="J7" s="20" t="s">
        <v>57</v>
      </c>
      <c r="K7" s="20" t="s">
        <v>90</v>
      </c>
      <c r="L7" s="20" t="s">
        <v>90</v>
      </c>
      <c r="M7" s="20" t="s">
        <v>90</v>
      </c>
      <c r="N7" s="20" t="s">
        <v>90</v>
      </c>
      <c r="O7" s="20" t="s">
        <v>90</v>
      </c>
      <c r="P7" s="20" t="s">
        <v>90</v>
      </c>
      <c r="Q7" s="20" t="s">
        <v>90</v>
      </c>
    </row>
    <row r="8" spans="2:17" x14ac:dyDescent="0.25">
      <c r="B8" s="18"/>
      <c r="C8" s="19" t="s">
        <v>91</v>
      </c>
      <c r="D8" s="22">
        <v>2009</v>
      </c>
      <c r="E8" s="22">
        <v>2010</v>
      </c>
      <c r="F8" s="22">
        <v>2011</v>
      </c>
      <c r="G8" s="22">
        <v>2012</v>
      </c>
      <c r="H8" s="22">
        <v>2013</v>
      </c>
      <c r="I8" s="22">
        <v>2014</v>
      </c>
      <c r="J8" s="23" t="s">
        <v>92</v>
      </c>
      <c r="K8" s="23" t="s">
        <v>93</v>
      </c>
      <c r="L8" s="22">
        <v>2016</v>
      </c>
      <c r="M8" s="22">
        <v>2017</v>
      </c>
      <c r="N8" s="22">
        <v>2018</v>
      </c>
      <c r="O8" s="22">
        <v>2019</v>
      </c>
      <c r="P8" s="22">
        <v>2020</v>
      </c>
      <c r="Q8" s="22">
        <v>2021</v>
      </c>
    </row>
    <row r="9" spans="2:17" x14ac:dyDescent="0.25">
      <c r="B9" s="18"/>
      <c r="C9" s="19" t="s">
        <v>94</v>
      </c>
      <c r="D9" s="24">
        <v>166.5</v>
      </c>
      <c r="E9" s="24">
        <v>168.6</v>
      </c>
      <c r="F9" s="24">
        <v>173.3</v>
      </c>
      <c r="G9" s="24">
        <v>179.4</v>
      </c>
      <c r="H9" s="25"/>
      <c r="I9" s="25"/>
      <c r="J9" s="25"/>
      <c r="K9" s="25"/>
      <c r="L9" s="25"/>
      <c r="M9" s="25"/>
      <c r="N9" s="25"/>
      <c r="O9" s="25"/>
      <c r="P9" s="25"/>
      <c r="Q9" s="25"/>
    </row>
    <row r="10" spans="2:17" x14ac:dyDescent="0.25">
      <c r="B10" s="18"/>
      <c r="C10" s="19" t="s">
        <v>95</v>
      </c>
      <c r="D10" s="26"/>
      <c r="E10" s="26"/>
      <c r="F10" s="26"/>
      <c r="G10" s="27">
        <v>99.8</v>
      </c>
      <c r="H10" s="27">
        <v>101.8</v>
      </c>
      <c r="I10" s="27">
        <v>104</v>
      </c>
      <c r="J10" s="27">
        <v>106.4</v>
      </c>
      <c r="K10" s="28">
        <f>(1+L11)^0.5*J10</f>
        <v>107.7344004039564</v>
      </c>
      <c r="L10" s="27">
        <f>J10*(1+L11)</f>
        <v>109.085536</v>
      </c>
      <c r="M10" s="27">
        <f>L10*(1+M11)</f>
        <v>111.83885492864</v>
      </c>
      <c r="N10" s="27">
        <f t="shared" ref="N10:Q10" si="2">M10*(1+N11)</f>
        <v>114.66166762703887</v>
      </c>
      <c r="O10" s="27">
        <f t="shared" si="2"/>
        <v>117.55572811794532</v>
      </c>
      <c r="P10" s="27">
        <f t="shared" si="2"/>
        <v>120.52283469564226</v>
      </c>
      <c r="Q10" s="27">
        <f t="shared" si="2"/>
        <v>123.56483104336026</v>
      </c>
    </row>
    <row r="11" spans="2:17" x14ac:dyDescent="0.25">
      <c r="B11" s="18"/>
      <c r="C11" s="19" t="s">
        <v>96</v>
      </c>
      <c r="D11" s="29">
        <f>D9/158.6-1</f>
        <v>4.9810844892812067E-2</v>
      </c>
      <c r="E11" s="29">
        <f>E9/D9-1</f>
        <v>1.2612612612612484E-2</v>
      </c>
      <c r="F11" s="29">
        <f t="shared" ref="F11:G11" si="3">F9/E9-1</f>
        <v>2.7876631079478242E-2</v>
      </c>
      <c r="G11" s="29">
        <f t="shared" si="3"/>
        <v>3.5199076745527913E-2</v>
      </c>
      <c r="H11" s="29">
        <f>H10/G10-1</f>
        <v>2.0040080160320661E-2</v>
      </c>
      <c r="I11" s="29">
        <f t="shared" ref="I11:J11" si="4">I10/H10-1</f>
        <v>2.16110019646365E-2</v>
      </c>
      <c r="J11" s="29">
        <f t="shared" si="4"/>
        <v>2.3076923076923217E-2</v>
      </c>
      <c r="K11" s="30">
        <f>(K10-J10)/J10</f>
        <v>1.2541357180041297E-2</v>
      </c>
      <c r="L11" s="30">
        <v>2.5239999999999999E-2</v>
      </c>
      <c r="M11" s="30">
        <v>2.5239999999999999E-2</v>
      </c>
      <c r="N11" s="30">
        <v>2.5239999999999999E-2</v>
      </c>
      <c r="O11" s="30">
        <v>2.5239999999999999E-2</v>
      </c>
      <c r="P11" s="30">
        <v>2.5239999999999999E-2</v>
      </c>
      <c r="Q11" s="30">
        <v>2.5239999999999999E-2</v>
      </c>
    </row>
    <row r="12" spans="2:17" x14ac:dyDescent="0.25">
      <c r="B12" s="18"/>
      <c r="C12" s="19" t="s">
        <v>97</v>
      </c>
      <c r="D12" s="29"/>
      <c r="E12" s="29"/>
      <c r="F12" s="29"/>
      <c r="G12" s="29"/>
      <c r="H12" s="29"/>
      <c r="I12" s="31">
        <f>I10/$I$10</f>
        <v>1</v>
      </c>
      <c r="J12" s="32">
        <f t="shared" ref="J12:Q12" si="5">J10/$I$10</f>
        <v>1.0230769230769232</v>
      </c>
      <c r="K12" s="294">
        <f>K10/$I$10</f>
        <v>1.0359076961918885</v>
      </c>
      <c r="L12" s="32">
        <f t="shared" si="5"/>
        <v>1.0488993846153847</v>
      </c>
      <c r="M12" s="32">
        <f t="shared" si="5"/>
        <v>1.0753736050830769</v>
      </c>
      <c r="N12" s="32">
        <f t="shared" si="5"/>
        <v>1.1025160348753738</v>
      </c>
      <c r="O12" s="32">
        <f t="shared" si="5"/>
        <v>1.1303435395956281</v>
      </c>
      <c r="P12" s="32">
        <f t="shared" si="5"/>
        <v>1.1588734105350218</v>
      </c>
      <c r="Q12" s="32">
        <f t="shared" si="5"/>
        <v>1.1881233754169256</v>
      </c>
    </row>
    <row r="13" spans="2:17" x14ac:dyDescent="0.25">
      <c r="B13" s="18"/>
      <c r="C13" s="19" t="s">
        <v>98</v>
      </c>
      <c r="D13" s="29"/>
      <c r="E13" s="33"/>
      <c r="F13" s="33"/>
      <c r="G13" s="33"/>
      <c r="H13" s="33"/>
      <c r="I13" s="34"/>
      <c r="J13" s="31"/>
      <c r="K13" s="31">
        <v>1</v>
      </c>
      <c r="L13" s="31">
        <f>L10/$K$10</f>
        <v>1.0125413571800412</v>
      </c>
      <c r="M13" s="31">
        <f t="shared" ref="M13:Q13" si="6">M10/$K$10</f>
        <v>1.0380979010352656</v>
      </c>
      <c r="N13" s="31">
        <f t="shared" si="6"/>
        <v>1.0642994920573956</v>
      </c>
      <c r="O13" s="31">
        <f t="shared" si="6"/>
        <v>1.0911624112369243</v>
      </c>
      <c r="P13" s="31">
        <f t="shared" si="6"/>
        <v>1.118703350496544</v>
      </c>
      <c r="Q13" s="31">
        <f t="shared" si="6"/>
        <v>1.1469394230630767</v>
      </c>
    </row>
    <row r="14" spans="2:17" x14ac:dyDescent="0.25">
      <c r="B14" s="18"/>
      <c r="C14" s="19" t="s">
        <v>99</v>
      </c>
      <c r="D14" s="35">
        <f t="shared" ref="D14:G15" si="7">(1+E$11)*E14</f>
        <v>1.1631401802084518</v>
      </c>
      <c r="E14" s="35">
        <f t="shared" si="7"/>
        <v>1.1486526690670655</v>
      </c>
      <c r="F14" s="35">
        <f t="shared" si="7"/>
        <v>1.1175005193578027</v>
      </c>
      <c r="G14" s="35">
        <f t="shared" si="7"/>
        <v>1.0795030100596834</v>
      </c>
      <c r="H14" s="35">
        <f>(1+I$11)*I14</f>
        <v>1.0582946994494735</v>
      </c>
      <c r="I14" s="35">
        <f>(1+J11)*(1+K11)</f>
        <v>1.0359076961918885</v>
      </c>
      <c r="J14" s="35">
        <f>1*(1+K11)</f>
        <v>1.0125413571800412</v>
      </c>
      <c r="K14" s="35">
        <v>1</v>
      </c>
      <c r="L14" s="19"/>
      <c r="M14" s="19"/>
      <c r="N14" s="19"/>
      <c r="O14" s="19"/>
      <c r="P14" s="19"/>
      <c r="Q14" s="19"/>
    </row>
    <row r="15" spans="2:17" x14ac:dyDescent="0.25">
      <c r="B15" s="18"/>
      <c r="C15" s="36" t="s">
        <v>100</v>
      </c>
      <c r="D15" s="31">
        <f t="shared" si="7"/>
        <v>1.1228222210186136</v>
      </c>
      <c r="E15" s="31">
        <f t="shared" si="7"/>
        <v>1.1088368908635777</v>
      </c>
      <c r="F15" s="31">
        <f t="shared" si="7"/>
        <v>1.0787645689532555</v>
      </c>
      <c r="G15" s="31">
        <f>(1+H$11)*H15</f>
        <v>1.0420841683366733</v>
      </c>
      <c r="H15" s="31">
        <f>1*(1+I$11)</f>
        <v>1.0216110019646365</v>
      </c>
      <c r="I15" s="31">
        <v>1</v>
      </c>
      <c r="J15" s="31"/>
      <c r="K15" s="31"/>
      <c r="L15" s="31"/>
      <c r="M15" s="31"/>
      <c r="N15" s="31"/>
      <c r="O15" s="31"/>
      <c r="P15" s="31"/>
      <c r="Q15" s="31"/>
    </row>
    <row r="16" spans="2:17" ht="11.25" customHeight="1" x14ac:dyDescent="0.25">
      <c r="B16" s="18"/>
      <c r="C16" s="37"/>
      <c r="D16" s="38"/>
      <c r="E16" s="38"/>
      <c r="F16" s="38"/>
      <c r="G16" s="38"/>
      <c r="H16" s="38"/>
      <c r="I16" s="38"/>
      <c r="J16" s="38"/>
      <c r="K16" s="38"/>
    </row>
    <row r="17" spans="2:12" x14ac:dyDescent="0.25">
      <c r="B17" s="18"/>
      <c r="C17" s="37" t="s">
        <v>101</v>
      </c>
    </row>
    <row r="18" spans="2:12" x14ac:dyDescent="0.25">
      <c r="B18" s="18"/>
      <c r="C18" s="37"/>
      <c r="J18" s="39"/>
    </row>
    <row r="19" spans="2:12" x14ac:dyDescent="0.25">
      <c r="B19" s="18"/>
      <c r="C19" s="37"/>
    </row>
    <row r="20" spans="2:12" x14ac:dyDescent="0.25">
      <c r="B20" s="18" t="s">
        <v>102</v>
      </c>
    </row>
    <row r="21" spans="2:12" x14ac:dyDescent="0.25">
      <c r="B21" s="18"/>
    </row>
    <row r="22" spans="2:12" x14ac:dyDescent="0.25">
      <c r="B22" s="18"/>
      <c r="C22" s="19" t="s">
        <v>103</v>
      </c>
      <c r="D22" s="40">
        <v>2014</v>
      </c>
      <c r="E22" s="40">
        <v>2015</v>
      </c>
      <c r="F22" s="40">
        <v>2016</v>
      </c>
      <c r="G22" s="40">
        <v>2017</v>
      </c>
      <c r="H22" s="40">
        <v>2018</v>
      </c>
      <c r="I22" s="40">
        <v>2019</v>
      </c>
      <c r="J22" s="40">
        <v>2020</v>
      </c>
      <c r="K22" s="40">
        <v>2021</v>
      </c>
    </row>
    <row r="23" spans="2:12" x14ac:dyDescent="0.25">
      <c r="B23" s="18"/>
      <c r="C23" s="19" t="s">
        <v>104</v>
      </c>
      <c r="D23" s="41">
        <v>6.0767490000000002E-3</v>
      </c>
      <c r="E23" s="42">
        <v>1.26E-2</v>
      </c>
      <c r="F23" s="42">
        <v>3.5999999999999999E-3</v>
      </c>
      <c r="G23" s="41">
        <v>8.0226357885779202E-3</v>
      </c>
      <c r="H23" s="41">
        <v>1.2796329223907379E-2</v>
      </c>
      <c r="I23" s="41">
        <v>1.479639634121426E-2</v>
      </c>
      <c r="J23" s="41">
        <v>1.3681652785867962E-2</v>
      </c>
      <c r="K23" s="41"/>
      <c r="L23" s="16" t="s">
        <v>105</v>
      </c>
    </row>
    <row r="24" spans="2:12" x14ac:dyDescent="0.25">
      <c r="B24" s="18"/>
      <c r="C24" s="19" t="s">
        <v>106</v>
      </c>
      <c r="D24" s="31">
        <v>1</v>
      </c>
      <c r="E24" s="31">
        <f>(1+E23)*D24</f>
        <v>1.0125999999999999</v>
      </c>
      <c r="F24" s="31">
        <f>(1+F23)*E24</f>
        <v>1.0162453600000001</v>
      </c>
      <c r="G24" s="31">
        <f t="shared" ref="G24:K24" si="8">(1+G23)*F24</f>
        <v>1.0243983263951124</v>
      </c>
      <c r="H24" s="31">
        <f t="shared" si="8"/>
        <v>1.0375068646360839</v>
      </c>
      <c r="I24" s="31">
        <f t="shared" si="8"/>
        <v>1.05285822741197</v>
      </c>
      <c r="J24" s="31">
        <f t="shared" si="8"/>
        <v>1.0672630681121649</v>
      </c>
      <c r="K24" s="31">
        <f t="shared" si="8"/>
        <v>1.0672630681121649</v>
      </c>
    </row>
    <row r="25" spans="2:12" x14ac:dyDescent="0.25">
      <c r="B25" s="18"/>
      <c r="C25" s="19" t="s">
        <v>107</v>
      </c>
      <c r="D25" s="41">
        <v>7.6630057335663306E-3</v>
      </c>
      <c r="E25" s="42">
        <v>1.26E-2</v>
      </c>
      <c r="F25" s="42">
        <v>3.5999999999999999E-3</v>
      </c>
      <c r="G25" s="41">
        <v>8.0226357885779202E-3</v>
      </c>
      <c r="H25" s="41">
        <v>1.2796329223907379E-2</v>
      </c>
      <c r="I25" s="41">
        <v>1.479639634121426E-2</v>
      </c>
      <c r="J25" s="41">
        <v>1.3681652785867962E-2</v>
      </c>
      <c r="K25" s="41"/>
      <c r="L25" s="16" t="s">
        <v>108</v>
      </c>
    </row>
    <row r="26" spans="2:12" x14ac:dyDescent="0.25">
      <c r="B26" s="18"/>
      <c r="C26" s="19" t="s">
        <v>109</v>
      </c>
      <c r="D26" s="31">
        <v>1</v>
      </c>
      <c r="E26" s="31">
        <f>(1+E25)*D26</f>
        <v>1.0125999999999999</v>
      </c>
      <c r="F26" s="31">
        <f>(1+F25)*E26</f>
        <v>1.0162453600000001</v>
      </c>
      <c r="G26" s="31">
        <f t="shared" ref="G26:K26" si="9">(1+G25)*F26</f>
        <v>1.0243983263951124</v>
      </c>
      <c r="H26" s="31">
        <f t="shared" si="9"/>
        <v>1.0375068646360839</v>
      </c>
      <c r="I26" s="31">
        <f t="shared" si="9"/>
        <v>1.05285822741197</v>
      </c>
      <c r="J26" s="31">
        <f t="shared" si="9"/>
        <v>1.0672630681121649</v>
      </c>
      <c r="K26" s="31">
        <f t="shared" si="9"/>
        <v>1.0672630681121649</v>
      </c>
    </row>
    <row r="27" spans="2:12" x14ac:dyDescent="0.25">
      <c r="B27" s="18"/>
      <c r="C27" s="37" t="s">
        <v>110</v>
      </c>
    </row>
    <row r="28" spans="2:12" x14ac:dyDescent="0.25">
      <c r="B28" s="18"/>
      <c r="C28" s="37"/>
      <c r="F28" s="39"/>
      <c r="G28" s="39"/>
      <c r="H28" s="39"/>
      <c r="I28" s="39"/>
      <c r="J28" s="39"/>
    </row>
    <row r="29" spans="2:12" x14ac:dyDescent="0.25">
      <c r="B29" s="18" t="s">
        <v>111</v>
      </c>
    </row>
    <row r="30" spans="2:12" x14ac:dyDescent="0.25">
      <c r="B30" s="18"/>
      <c r="C30" s="19" t="s">
        <v>112</v>
      </c>
      <c r="D30" s="40">
        <v>2014</v>
      </c>
      <c r="E30" s="40">
        <v>2015</v>
      </c>
      <c r="F30" s="40">
        <v>2016</v>
      </c>
      <c r="G30" s="40">
        <v>2017</v>
      </c>
      <c r="H30" s="40">
        <v>2018</v>
      </c>
      <c r="I30" s="40">
        <v>2019</v>
      </c>
      <c r="J30" s="40">
        <v>2020</v>
      </c>
      <c r="K30" s="40">
        <v>2021</v>
      </c>
    </row>
    <row r="31" spans="2:12" x14ac:dyDescent="0.25">
      <c r="B31" s="18"/>
      <c r="C31" s="19" t="s">
        <v>113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</row>
    <row r="32" spans="2:12" x14ac:dyDescent="0.25">
      <c r="B32" s="18"/>
      <c r="C32" s="19" t="s">
        <v>114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</row>
    <row r="33" spans="2:13" x14ac:dyDescent="0.25">
      <c r="B33" s="18"/>
      <c r="C33" s="19" t="s">
        <v>115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M33" s="16" t="s">
        <v>116</v>
      </c>
    </row>
    <row r="34" spans="2:13" x14ac:dyDescent="0.25">
      <c r="B34" s="18"/>
      <c r="C34" s="19" t="s">
        <v>117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</row>
    <row r="35" spans="2:13" x14ac:dyDescent="0.25">
      <c r="B35" s="18"/>
      <c r="C35" s="19" t="s">
        <v>118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</row>
    <row r="36" spans="2:13" x14ac:dyDescent="0.25">
      <c r="B36" s="18"/>
      <c r="C36" s="19" t="s">
        <v>119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</row>
    <row r="37" spans="2:13" x14ac:dyDescent="0.25">
      <c r="B37" s="18"/>
    </row>
    <row r="38" spans="2:13" x14ac:dyDescent="0.25">
      <c r="B38" s="18"/>
      <c r="C38" s="19" t="s">
        <v>120</v>
      </c>
      <c r="D38" s="40">
        <v>2014</v>
      </c>
      <c r="E38" s="40">
        <v>2015</v>
      </c>
      <c r="F38" s="40">
        <v>2016</v>
      </c>
      <c r="G38" s="40">
        <v>2017</v>
      </c>
      <c r="H38" s="40">
        <v>2018</v>
      </c>
      <c r="I38" s="40">
        <v>2019</v>
      </c>
      <c r="J38" s="40">
        <v>2020</v>
      </c>
      <c r="K38" s="40">
        <v>2021</v>
      </c>
      <c r="L38" s="44"/>
    </row>
    <row r="39" spans="2:13" x14ac:dyDescent="0.25">
      <c r="B39" s="18"/>
      <c r="C39" s="19" t="s">
        <v>113</v>
      </c>
      <c r="D39" s="31">
        <v>1</v>
      </c>
      <c r="E39" s="31">
        <f>(1+E31)*D39</f>
        <v>1</v>
      </c>
      <c r="F39" s="31">
        <f>(1+F31)*E39</f>
        <v>1</v>
      </c>
      <c r="G39" s="31">
        <f t="shared" ref="G39:K39" si="10">(1+G31)*F39</f>
        <v>1</v>
      </c>
      <c r="H39" s="31">
        <f t="shared" si="10"/>
        <v>1</v>
      </c>
      <c r="I39" s="31">
        <f t="shared" si="10"/>
        <v>1</v>
      </c>
      <c r="J39" s="31">
        <f t="shared" si="10"/>
        <v>1</v>
      </c>
      <c r="K39" s="31">
        <f t="shared" si="10"/>
        <v>1</v>
      </c>
    </row>
    <row r="40" spans="2:13" x14ac:dyDescent="0.25">
      <c r="B40" s="18"/>
      <c r="C40" s="19" t="s">
        <v>114</v>
      </c>
      <c r="D40" s="31">
        <v>1</v>
      </c>
      <c r="E40" s="31">
        <f t="shared" ref="E40:K43" si="11">(1+E32)*D40</f>
        <v>1</v>
      </c>
      <c r="F40" s="31">
        <f t="shared" si="11"/>
        <v>1</v>
      </c>
      <c r="G40" s="31">
        <f t="shared" si="11"/>
        <v>1</v>
      </c>
      <c r="H40" s="31">
        <f t="shared" si="11"/>
        <v>1</v>
      </c>
      <c r="I40" s="31">
        <f t="shared" si="11"/>
        <v>1</v>
      </c>
      <c r="J40" s="31">
        <f t="shared" si="11"/>
        <v>1</v>
      </c>
      <c r="K40" s="31">
        <f t="shared" si="11"/>
        <v>1</v>
      </c>
    </row>
    <row r="41" spans="2:13" x14ac:dyDescent="0.25">
      <c r="B41" s="18"/>
      <c r="C41" s="19" t="s">
        <v>115</v>
      </c>
      <c r="D41" s="31">
        <v>1</v>
      </c>
      <c r="E41" s="31">
        <f t="shared" si="11"/>
        <v>1</v>
      </c>
      <c r="F41" s="31">
        <f t="shared" si="11"/>
        <v>1</v>
      </c>
      <c r="G41" s="31">
        <f t="shared" si="11"/>
        <v>1</v>
      </c>
      <c r="H41" s="31">
        <f t="shared" si="11"/>
        <v>1</v>
      </c>
      <c r="I41" s="31">
        <f t="shared" si="11"/>
        <v>1</v>
      </c>
      <c r="J41" s="31">
        <f t="shared" si="11"/>
        <v>1</v>
      </c>
      <c r="K41" s="31">
        <f t="shared" si="11"/>
        <v>1</v>
      </c>
    </row>
    <row r="42" spans="2:13" x14ac:dyDescent="0.25">
      <c r="B42" s="18"/>
      <c r="C42" s="19" t="s">
        <v>117</v>
      </c>
      <c r="D42" s="31">
        <v>1</v>
      </c>
      <c r="E42" s="31">
        <f t="shared" si="11"/>
        <v>1</v>
      </c>
      <c r="F42" s="31">
        <f t="shared" si="11"/>
        <v>1</v>
      </c>
      <c r="G42" s="31">
        <f t="shared" si="11"/>
        <v>1</v>
      </c>
      <c r="H42" s="31">
        <f t="shared" si="11"/>
        <v>1</v>
      </c>
      <c r="I42" s="31">
        <f t="shared" si="11"/>
        <v>1</v>
      </c>
      <c r="J42" s="31">
        <f t="shared" si="11"/>
        <v>1</v>
      </c>
      <c r="K42" s="31">
        <f t="shared" si="11"/>
        <v>1</v>
      </c>
    </row>
    <row r="43" spans="2:13" x14ac:dyDescent="0.25">
      <c r="B43" s="18"/>
      <c r="C43" s="19" t="s">
        <v>118</v>
      </c>
      <c r="D43" s="31">
        <v>1</v>
      </c>
      <c r="E43" s="31">
        <f t="shared" si="11"/>
        <v>1</v>
      </c>
      <c r="F43" s="31">
        <f t="shared" si="11"/>
        <v>1</v>
      </c>
      <c r="G43" s="31">
        <f t="shared" si="11"/>
        <v>1</v>
      </c>
      <c r="H43" s="31">
        <f t="shared" si="11"/>
        <v>1</v>
      </c>
      <c r="I43" s="31">
        <f t="shared" si="11"/>
        <v>1</v>
      </c>
      <c r="J43" s="31">
        <f t="shared" si="11"/>
        <v>1</v>
      </c>
      <c r="K43" s="31">
        <f t="shared" si="11"/>
        <v>1</v>
      </c>
    </row>
    <row r="44" spans="2:13" x14ac:dyDescent="0.25">
      <c r="B44" s="18"/>
      <c r="C44" s="19" t="str">
        <f>C36</f>
        <v>Spare</v>
      </c>
      <c r="D44" s="31"/>
      <c r="E44" s="31"/>
      <c r="F44" s="35"/>
      <c r="G44" s="35"/>
      <c r="H44" s="35"/>
      <c r="I44" s="35"/>
      <c r="J44" s="35"/>
      <c r="K44" s="35"/>
    </row>
    <row r="45" spans="2:13" x14ac:dyDescent="0.25">
      <c r="C45" s="37" t="s">
        <v>121</v>
      </c>
    </row>
    <row r="46" spans="2:13" x14ac:dyDescent="0.25">
      <c r="C46" s="16" t="s">
        <v>122</v>
      </c>
    </row>
    <row r="48" spans="2:13" x14ac:dyDescent="0.25">
      <c r="B48" s="18"/>
    </row>
    <row r="49" spans="2:5" ht="11.25" customHeight="1" x14ac:dyDescent="0.25">
      <c r="B49" s="18"/>
    </row>
    <row r="50" spans="2:5" x14ac:dyDescent="0.25">
      <c r="D50" s="45"/>
      <c r="E50" s="46"/>
    </row>
    <row r="51" spans="2:5" x14ac:dyDescent="0.25">
      <c r="D51" s="47"/>
    </row>
  </sheetData>
  <hyperlinks>
    <hyperlink ref="B2" location="Contents!A1" display="Table of Contents"/>
  </hyperlinks>
  <pageMargins left="0.7" right="0.7" top="0.75" bottom="0.75" header="0.3" footer="0.3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K45"/>
  <sheetViews>
    <sheetView topLeftCell="A13" workbookViewId="0">
      <selection activeCell="CI39" sqref="CI39"/>
    </sheetView>
  </sheetViews>
  <sheetFormatPr defaultRowHeight="15" outlineLevelRow="1" outlineLevelCol="1" x14ac:dyDescent="0.25"/>
  <cols>
    <col min="1" max="1" width="32.85546875" customWidth="1" outlineLevel="1"/>
    <col min="2" max="2" width="32.85546875" customWidth="1"/>
    <col min="3" max="14" width="9" hidden="1" customWidth="1" outlineLevel="1"/>
    <col min="15" max="15" width="10.5703125" bestFit="1" customWidth="1" collapsed="1"/>
    <col min="16" max="27" width="9" hidden="1" customWidth="1" outlineLevel="1"/>
    <col min="28" max="28" width="10.5703125" bestFit="1" customWidth="1" collapsed="1"/>
    <col min="29" max="40" width="9" hidden="1" customWidth="1" outlineLevel="1"/>
    <col min="41" max="41" width="10.5703125" bestFit="1" customWidth="1" collapsed="1"/>
    <col min="42" max="53" width="9" hidden="1" customWidth="1" outlineLevel="1"/>
    <col min="54" max="54" width="10.5703125" bestFit="1" customWidth="1" collapsed="1"/>
    <col min="55" max="66" width="9" hidden="1" customWidth="1" outlineLevel="1"/>
    <col min="67" max="67" width="10.5703125" bestFit="1" customWidth="1" collapsed="1"/>
    <col min="68" max="79" width="9" hidden="1" customWidth="1" outlineLevel="1"/>
    <col min="80" max="80" width="10.5703125" bestFit="1" customWidth="1" collapsed="1"/>
    <col min="81" max="81" width="9" bestFit="1" customWidth="1"/>
    <col min="82" max="82" width="8" bestFit="1" customWidth="1"/>
    <col min="83" max="83" width="9" bestFit="1" customWidth="1"/>
    <col min="84" max="85" width="8" bestFit="1" customWidth="1"/>
    <col min="86" max="86" width="10.5703125" bestFit="1" customWidth="1"/>
    <col min="87" max="91" width="9" bestFit="1" customWidth="1"/>
  </cols>
  <sheetData>
    <row r="1" spans="1:83" outlineLevel="1" x14ac:dyDescent="0.25">
      <c r="A1" t="s">
        <v>0</v>
      </c>
      <c r="C1" t="s">
        <v>52</v>
      </c>
    </row>
    <row r="2" spans="1:83" outlineLevel="1" x14ac:dyDescent="0.25">
      <c r="A2" s="1" t="s">
        <v>1</v>
      </c>
      <c r="B2" s="1"/>
    </row>
    <row r="3" spans="1:83" outlineLevel="1" x14ac:dyDescent="0.25">
      <c r="A3" s="1" t="s">
        <v>2</v>
      </c>
      <c r="B3" s="1"/>
      <c r="C3" t="s">
        <v>53</v>
      </c>
    </row>
    <row r="4" spans="1:83" outlineLevel="1" x14ac:dyDescent="0.25">
      <c r="A4" s="1" t="s">
        <v>3</v>
      </c>
      <c r="B4" s="1"/>
      <c r="C4" t="s">
        <v>54</v>
      </c>
    </row>
    <row r="5" spans="1:83" outlineLevel="1" x14ac:dyDescent="0.25">
      <c r="A5" s="1" t="s">
        <v>4</v>
      </c>
      <c r="B5" s="1"/>
      <c r="C5" t="s">
        <v>55</v>
      </c>
    </row>
    <row r="6" spans="1:83" outlineLevel="1" x14ac:dyDescent="0.25">
      <c r="A6" s="1" t="s">
        <v>5</v>
      </c>
      <c r="B6" s="1"/>
      <c r="C6" t="s">
        <v>56</v>
      </c>
    </row>
    <row r="7" spans="1:83" outlineLevel="1" x14ac:dyDescent="0.25">
      <c r="A7" s="1" t="s">
        <v>6</v>
      </c>
      <c r="B7" s="1"/>
      <c r="C7" t="s">
        <v>57</v>
      </c>
    </row>
    <row r="8" spans="1:83" outlineLevel="1" x14ac:dyDescent="0.25"/>
    <row r="9" spans="1:83" x14ac:dyDescent="0.25">
      <c r="C9" t="s">
        <v>58</v>
      </c>
      <c r="D9" t="s">
        <v>58</v>
      </c>
      <c r="E9" t="s">
        <v>58</v>
      </c>
      <c r="F9" t="s">
        <v>59</v>
      </c>
      <c r="G9" t="s">
        <v>59</v>
      </c>
      <c r="H9" t="s">
        <v>59</v>
      </c>
      <c r="I9" t="s">
        <v>59</v>
      </c>
      <c r="J9" t="s">
        <v>59</v>
      </c>
      <c r="K9" t="s">
        <v>59</v>
      </c>
      <c r="L9" t="s">
        <v>59</v>
      </c>
      <c r="M9" t="s">
        <v>59</v>
      </c>
      <c r="N9" t="s">
        <v>59</v>
      </c>
      <c r="O9" s="6">
        <v>2009</v>
      </c>
      <c r="P9" t="s">
        <v>59</v>
      </c>
      <c r="Q9" t="s">
        <v>59</v>
      </c>
      <c r="R9" t="s">
        <v>59</v>
      </c>
      <c r="S9" t="s">
        <v>60</v>
      </c>
      <c r="T9" t="s">
        <v>60</v>
      </c>
      <c r="U9" t="s">
        <v>60</v>
      </c>
      <c r="V9" t="s">
        <v>60</v>
      </c>
      <c r="W9" t="s">
        <v>60</v>
      </c>
      <c r="X9" t="s">
        <v>60</v>
      </c>
      <c r="Y9" t="s">
        <v>60</v>
      </c>
      <c r="Z9" t="s">
        <v>60</v>
      </c>
      <c r="AA9" t="s">
        <v>60</v>
      </c>
      <c r="AB9" s="6">
        <v>2010</v>
      </c>
      <c r="AC9" t="s">
        <v>60</v>
      </c>
      <c r="AD9" t="s">
        <v>60</v>
      </c>
      <c r="AE9" t="s">
        <v>60</v>
      </c>
      <c r="AF9" t="s">
        <v>61</v>
      </c>
      <c r="AG9" t="s">
        <v>61</v>
      </c>
      <c r="AH9" t="s">
        <v>61</v>
      </c>
      <c r="AI9" t="s">
        <v>61</v>
      </c>
      <c r="AJ9" t="s">
        <v>61</v>
      </c>
      <c r="AK9" t="s">
        <v>61</v>
      </c>
      <c r="AL9" t="s">
        <v>61</v>
      </c>
      <c r="AM9" t="s">
        <v>61</v>
      </c>
      <c r="AN9" t="s">
        <v>61</v>
      </c>
      <c r="AO9" s="6">
        <v>2011</v>
      </c>
      <c r="AP9" t="s">
        <v>61</v>
      </c>
      <c r="AQ9" t="s">
        <v>61</v>
      </c>
      <c r="AR9" t="s">
        <v>61</v>
      </c>
      <c r="AS9" t="s">
        <v>62</v>
      </c>
      <c r="AT9" t="s">
        <v>62</v>
      </c>
      <c r="AU9" t="s">
        <v>62</v>
      </c>
      <c r="AV9" t="s">
        <v>62</v>
      </c>
      <c r="AW9" t="s">
        <v>62</v>
      </c>
      <c r="AX9" t="s">
        <v>62</v>
      </c>
      <c r="AY9" t="s">
        <v>62</v>
      </c>
      <c r="AZ9" t="s">
        <v>62</v>
      </c>
      <c r="BA9" t="s">
        <v>62</v>
      </c>
      <c r="BB9" s="6">
        <v>2012</v>
      </c>
      <c r="BC9" t="s">
        <v>62</v>
      </c>
      <c r="BD9" t="s">
        <v>62</v>
      </c>
      <c r="BE9" t="s">
        <v>62</v>
      </c>
      <c r="BF9" t="s">
        <v>63</v>
      </c>
      <c r="BG9" t="s">
        <v>63</v>
      </c>
      <c r="BH9" t="s">
        <v>63</v>
      </c>
      <c r="BI9" t="s">
        <v>63</v>
      </c>
      <c r="BJ9" t="s">
        <v>63</v>
      </c>
      <c r="BK9" t="s">
        <v>63</v>
      </c>
      <c r="BL9" t="s">
        <v>63</v>
      </c>
      <c r="BM9" t="s">
        <v>63</v>
      </c>
      <c r="BN9" t="s">
        <v>63</v>
      </c>
      <c r="BO9" s="6">
        <v>2013</v>
      </c>
      <c r="BP9" t="s">
        <v>63</v>
      </c>
      <c r="BQ9" t="s">
        <v>63</v>
      </c>
      <c r="BR9" t="s">
        <v>63</v>
      </c>
      <c r="BS9" t="s">
        <v>64</v>
      </c>
      <c r="BT9" t="s">
        <v>64</v>
      </c>
      <c r="BU9" t="s">
        <v>64</v>
      </c>
      <c r="BV9" t="s">
        <v>64</v>
      </c>
      <c r="BW9" t="s">
        <v>64</v>
      </c>
      <c r="BX9" t="s">
        <v>64</v>
      </c>
      <c r="BY9" t="s">
        <v>64</v>
      </c>
      <c r="BZ9" t="s">
        <v>64</v>
      </c>
      <c r="CA9" t="s">
        <v>64</v>
      </c>
      <c r="CB9" s="6">
        <v>2014</v>
      </c>
    </row>
    <row r="10" spans="1:83" x14ac:dyDescent="0.25">
      <c r="C10" s="6" t="s">
        <v>16</v>
      </c>
      <c r="D10" s="6" t="s">
        <v>17</v>
      </c>
      <c r="E10" s="6" t="s">
        <v>18</v>
      </c>
      <c r="F10" s="6" t="s">
        <v>7</v>
      </c>
      <c r="G10" s="6" t="s">
        <v>8</v>
      </c>
      <c r="H10" s="6" t="s">
        <v>9</v>
      </c>
      <c r="I10" s="6" t="s">
        <v>10</v>
      </c>
      <c r="J10" s="6" t="s">
        <v>11</v>
      </c>
      <c r="K10" s="6" t="s">
        <v>12</v>
      </c>
      <c r="L10" s="6" t="s">
        <v>13</v>
      </c>
      <c r="M10" s="6" t="s">
        <v>14</v>
      </c>
      <c r="N10" s="6" t="s">
        <v>15</v>
      </c>
      <c r="O10" s="6" t="s">
        <v>36</v>
      </c>
      <c r="P10" s="6" t="s">
        <v>16</v>
      </c>
      <c r="Q10" s="6" t="s">
        <v>17</v>
      </c>
      <c r="R10" s="6" t="s">
        <v>18</v>
      </c>
      <c r="S10" s="6" t="s">
        <v>7</v>
      </c>
      <c r="T10" s="6" t="s">
        <v>8</v>
      </c>
      <c r="U10" s="6" t="s">
        <v>9</v>
      </c>
      <c r="V10" s="6" t="s">
        <v>10</v>
      </c>
      <c r="W10" s="6" t="s">
        <v>11</v>
      </c>
      <c r="X10" s="6" t="s">
        <v>12</v>
      </c>
      <c r="Y10" s="6" t="s">
        <v>13</v>
      </c>
      <c r="Z10" s="6" t="s">
        <v>14</v>
      </c>
      <c r="AA10" s="6" t="s">
        <v>15</v>
      </c>
      <c r="AB10" s="6" t="s">
        <v>36</v>
      </c>
      <c r="AC10" s="6" t="s">
        <v>16</v>
      </c>
      <c r="AD10" s="6" t="s">
        <v>17</v>
      </c>
      <c r="AE10" s="6" t="s">
        <v>18</v>
      </c>
      <c r="AF10" s="6" t="s">
        <v>7</v>
      </c>
      <c r="AG10" s="6" t="s">
        <v>8</v>
      </c>
      <c r="AH10" s="6" t="s">
        <v>9</v>
      </c>
      <c r="AI10" s="6" t="s">
        <v>10</v>
      </c>
      <c r="AJ10" s="6" t="s">
        <v>11</v>
      </c>
      <c r="AK10" s="6" t="s">
        <v>12</v>
      </c>
      <c r="AL10" s="6" t="s">
        <v>13</v>
      </c>
      <c r="AM10" s="6" t="s">
        <v>14</v>
      </c>
      <c r="AN10" s="6" t="s">
        <v>15</v>
      </c>
      <c r="AO10" s="6" t="s">
        <v>36</v>
      </c>
      <c r="AP10" s="6" t="s">
        <v>16</v>
      </c>
      <c r="AQ10" s="6" t="s">
        <v>17</v>
      </c>
      <c r="AR10" s="6" t="s">
        <v>18</v>
      </c>
      <c r="AS10" s="6" t="s">
        <v>7</v>
      </c>
      <c r="AT10" s="6" t="s">
        <v>8</v>
      </c>
      <c r="AU10" s="6" t="s">
        <v>9</v>
      </c>
      <c r="AV10" s="6" t="s">
        <v>10</v>
      </c>
      <c r="AW10" s="6" t="s">
        <v>11</v>
      </c>
      <c r="AX10" s="6" t="s">
        <v>12</v>
      </c>
      <c r="AY10" s="6" t="s">
        <v>13</v>
      </c>
      <c r="AZ10" s="6" t="s">
        <v>14</v>
      </c>
      <c r="BA10" s="6" t="s">
        <v>15</v>
      </c>
      <c r="BB10" s="6" t="s">
        <v>36</v>
      </c>
      <c r="BC10" s="6" t="s">
        <v>16</v>
      </c>
      <c r="BD10" s="6" t="s">
        <v>17</v>
      </c>
      <c r="BE10" s="6" t="s">
        <v>18</v>
      </c>
      <c r="BF10" s="6" t="s">
        <v>7</v>
      </c>
      <c r="BG10" s="6" t="s">
        <v>8</v>
      </c>
      <c r="BH10" s="6" t="s">
        <v>9</v>
      </c>
      <c r="BI10" s="6" t="s">
        <v>10</v>
      </c>
      <c r="BJ10" s="6" t="s">
        <v>11</v>
      </c>
      <c r="BK10" s="6" t="s">
        <v>12</v>
      </c>
      <c r="BL10" s="6" t="s">
        <v>13</v>
      </c>
      <c r="BM10" s="6" t="s">
        <v>14</v>
      </c>
      <c r="BN10" s="6" t="s">
        <v>15</v>
      </c>
      <c r="BO10" s="6" t="s">
        <v>36</v>
      </c>
      <c r="BP10" s="6" t="s">
        <v>16</v>
      </c>
      <c r="BQ10" s="6" t="s">
        <v>17</v>
      </c>
      <c r="BR10" s="6" t="s">
        <v>18</v>
      </c>
      <c r="BS10" s="6" t="s">
        <v>7</v>
      </c>
      <c r="BT10" s="6" t="s">
        <v>8</v>
      </c>
      <c r="BU10" s="6" t="s">
        <v>9</v>
      </c>
      <c r="BV10" s="6" t="s">
        <v>10</v>
      </c>
      <c r="BW10" s="6" t="s">
        <v>11</v>
      </c>
      <c r="BX10" s="6" t="s">
        <v>12</v>
      </c>
      <c r="BY10" s="6" t="s">
        <v>13</v>
      </c>
      <c r="BZ10" s="6" t="s">
        <v>14</v>
      </c>
      <c r="CA10" s="6" t="s">
        <v>15</v>
      </c>
      <c r="CB10" s="6" t="s">
        <v>36</v>
      </c>
      <c r="CC10" s="6"/>
      <c r="CD10" s="6"/>
      <c r="CE10" s="6"/>
    </row>
    <row r="11" spans="1:83" x14ac:dyDescent="0.25">
      <c r="A11" s="2" t="s">
        <v>19</v>
      </c>
      <c r="B11" s="8" t="s">
        <v>37</v>
      </c>
      <c r="C11" s="5">
        <v>176361.95</v>
      </c>
      <c r="D11" s="5">
        <v>208040.56</v>
      </c>
      <c r="E11" s="5">
        <v>204061.94</v>
      </c>
      <c r="F11" s="5">
        <v>269725.57</v>
      </c>
      <c r="G11" s="5">
        <v>156044.82</v>
      </c>
      <c r="H11" s="5">
        <v>169215.94</v>
      </c>
      <c r="I11" s="5">
        <v>167788.71</v>
      </c>
      <c r="J11" s="5">
        <v>171877.29</v>
      </c>
      <c r="K11" s="5">
        <v>153165.73000000001</v>
      </c>
      <c r="L11" s="5">
        <v>253556.47</v>
      </c>
      <c r="M11" s="5">
        <v>197177.41</v>
      </c>
      <c r="N11" s="5">
        <v>242739.41</v>
      </c>
      <c r="O11" s="5">
        <f>SUM(C11:N11)</f>
        <v>2369755.8000000003</v>
      </c>
      <c r="P11" s="5">
        <v>127489.71</v>
      </c>
      <c r="Q11" s="5">
        <v>190033.51</v>
      </c>
      <c r="R11" s="5">
        <v>222317.45</v>
      </c>
      <c r="S11" s="5">
        <v>233340.52000000002</v>
      </c>
      <c r="T11" s="5">
        <v>214262.34</v>
      </c>
      <c r="U11" s="5">
        <v>223529.29</v>
      </c>
      <c r="V11" s="5">
        <v>236464.8</v>
      </c>
      <c r="W11" s="5">
        <v>204805.72000000003</v>
      </c>
      <c r="X11" s="5">
        <v>195254.46000000002</v>
      </c>
      <c r="Y11" s="5">
        <v>186379.16</v>
      </c>
      <c r="Z11" s="5">
        <v>187883.20000000004</v>
      </c>
      <c r="AA11" s="5">
        <v>217367.65</v>
      </c>
      <c r="AB11" s="5">
        <f>SUM(P11:AA11)</f>
        <v>2439127.81</v>
      </c>
      <c r="AC11" s="5">
        <v>176910.33</v>
      </c>
      <c r="AD11" s="5">
        <v>175917.31</v>
      </c>
      <c r="AE11" s="5">
        <v>193798.37</v>
      </c>
      <c r="AF11" s="5">
        <v>177693.03</v>
      </c>
      <c r="AG11" s="5">
        <v>245850.44</v>
      </c>
      <c r="AH11" s="5">
        <v>291653.99</v>
      </c>
      <c r="AI11" s="5">
        <v>318979.05</v>
      </c>
      <c r="AJ11" s="5">
        <v>316189.07</v>
      </c>
      <c r="AK11" s="5">
        <v>287548.82</v>
      </c>
      <c r="AL11" s="5">
        <v>282635.59000000003</v>
      </c>
      <c r="AM11" s="5">
        <v>307219.03999999998</v>
      </c>
      <c r="AN11" s="5">
        <v>314749.69</v>
      </c>
      <c r="AO11" s="5">
        <f>SUM(AC11:AN11)</f>
        <v>3089144.73</v>
      </c>
      <c r="AP11" s="5">
        <v>292648.05</v>
      </c>
      <c r="AQ11" s="5">
        <v>279410.10000000003</v>
      </c>
      <c r="AR11" s="5">
        <v>298622.32000000007</v>
      </c>
      <c r="AS11" s="5">
        <v>358144.89</v>
      </c>
      <c r="AT11" s="5">
        <v>343123.33</v>
      </c>
      <c r="AU11" s="5">
        <v>324418.75</v>
      </c>
      <c r="AV11" s="5">
        <v>264169.98</v>
      </c>
      <c r="AW11" s="5">
        <v>283617.19</v>
      </c>
      <c r="AX11" s="5">
        <v>244647.99000000002</v>
      </c>
      <c r="AY11" s="5">
        <v>280082.83999999997</v>
      </c>
      <c r="AZ11" s="5">
        <v>296993.86000000004</v>
      </c>
      <c r="BA11" s="5">
        <v>265745.55</v>
      </c>
      <c r="BB11" s="5">
        <f>SUM(AP11:BA11)</f>
        <v>3531624.8499999996</v>
      </c>
      <c r="BC11" s="5">
        <v>281461.36</v>
      </c>
      <c r="BD11" s="5">
        <v>239480.77000000002</v>
      </c>
      <c r="BE11" s="5">
        <v>253696.07</v>
      </c>
      <c r="BF11" s="5">
        <v>182169.56999999998</v>
      </c>
      <c r="BG11" s="5">
        <v>142890.82</v>
      </c>
      <c r="BH11" s="5">
        <v>19957.310000000001</v>
      </c>
      <c r="BI11" s="5">
        <v>63387.840000000011</v>
      </c>
      <c r="BJ11" s="5">
        <v>38826.67</v>
      </c>
      <c r="BK11" s="5">
        <v>51507.87</v>
      </c>
      <c r="BL11" s="5">
        <v>1307209.24</v>
      </c>
      <c r="BM11" s="5">
        <v>288006.75999999995</v>
      </c>
      <c r="BN11" s="5">
        <v>321895.51</v>
      </c>
      <c r="BO11" s="5">
        <f>SUM(BC11:BN11)</f>
        <v>3190489.79</v>
      </c>
      <c r="BP11" s="5">
        <v>224312.88</v>
      </c>
      <c r="BQ11" s="5">
        <v>237319.51000000004</v>
      </c>
      <c r="BR11" s="5">
        <v>233739.48000000004</v>
      </c>
      <c r="BS11" s="5">
        <v>217531.13999999998</v>
      </c>
      <c r="BT11" s="5">
        <v>202073.33</v>
      </c>
      <c r="BU11" s="5">
        <v>272459.38</v>
      </c>
      <c r="BV11" s="5">
        <v>275604.69</v>
      </c>
      <c r="BW11" s="5">
        <v>226917.53000000003</v>
      </c>
      <c r="BX11" s="5">
        <v>244923.84000000003</v>
      </c>
      <c r="BY11" s="5">
        <v>199111.08000000002</v>
      </c>
      <c r="BZ11" s="5">
        <v>296329.34999999998</v>
      </c>
      <c r="CA11" s="5">
        <v>242839.47000000003</v>
      </c>
      <c r="CB11" s="5">
        <f>SUM(BP11:CA11)</f>
        <v>2873161.6800000006</v>
      </c>
      <c r="CC11" s="5"/>
      <c r="CD11" s="5"/>
    </row>
    <row r="12" spans="1:83" x14ac:dyDescent="0.25">
      <c r="A12" s="2" t="s">
        <v>20</v>
      </c>
      <c r="B12" s="8" t="s">
        <v>38</v>
      </c>
      <c r="C12" s="5">
        <v>5550.11</v>
      </c>
      <c r="D12" s="5">
        <v>8928.43</v>
      </c>
      <c r="E12" s="5">
        <v>61330.950000000004</v>
      </c>
      <c r="F12" s="5">
        <v>0</v>
      </c>
      <c r="G12" s="5">
        <v>117.9</v>
      </c>
      <c r="H12" s="5">
        <v>780.54</v>
      </c>
      <c r="I12" s="5">
        <v>311.33</v>
      </c>
      <c r="J12" s="5">
        <v>204.92000000000002</v>
      </c>
      <c r="K12" s="5">
        <v>8043.89</v>
      </c>
      <c r="L12" s="5">
        <v>447.8</v>
      </c>
      <c r="M12" s="5">
        <v>1915.2200000000003</v>
      </c>
      <c r="N12" s="5">
        <v>286.09000000000003</v>
      </c>
      <c r="O12" s="5">
        <f t="shared" ref="O12:O14" si="0">SUM(C12:N12)</f>
        <v>87917.18</v>
      </c>
      <c r="P12" s="5">
        <v>0</v>
      </c>
      <c r="Q12" s="5">
        <v>978.84</v>
      </c>
      <c r="R12" s="5">
        <v>123.60000000000001</v>
      </c>
      <c r="S12" s="5">
        <v>200.76</v>
      </c>
      <c r="T12" s="5">
        <v>341.88</v>
      </c>
      <c r="U12" s="5">
        <v>83</v>
      </c>
      <c r="V12" s="5">
        <v>198.29</v>
      </c>
      <c r="W12" s="5">
        <v>33.67</v>
      </c>
      <c r="X12" s="5">
        <v>110.32000000000001</v>
      </c>
      <c r="Y12" s="5">
        <v>219.23000000000002</v>
      </c>
      <c r="Z12" s="5">
        <v>41.5</v>
      </c>
      <c r="AA12" s="5">
        <v>440.27</v>
      </c>
      <c r="AB12" s="5">
        <f t="shared" ref="AB12:AB14" si="1">SUM(P12:AA12)</f>
        <v>2771.36</v>
      </c>
      <c r="AC12" s="5">
        <v>0</v>
      </c>
      <c r="AD12" s="5">
        <v>115.48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>
        <f t="shared" ref="AO12:AO14" si="2">SUM(AC12:AN12)</f>
        <v>115.48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3642.57</v>
      </c>
      <c r="AV12" s="5">
        <v>5898.28</v>
      </c>
      <c r="AW12" s="5">
        <v>8609.49</v>
      </c>
      <c r="AX12" s="5">
        <v>9902.73</v>
      </c>
      <c r="AY12" s="5">
        <v>8160.09</v>
      </c>
      <c r="AZ12" s="5">
        <v>5689.97</v>
      </c>
      <c r="BA12" s="5">
        <v>1969.1100000000001</v>
      </c>
      <c r="BB12" s="5">
        <f t="shared" ref="BB12:BB14" si="3">SUM(AP12:BA12)</f>
        <v>43872.240000000005</v>
      </c>
      <c r="BC12" s="5">
        <v>4794.92</v>
      </c>
      <c r="BD12" s="5">
        <v>3656.92</v>
      </c>
      <c r="BE12" s="5">
        <v>3452.34</v>
      </c>
      <c r="BF12" s="5">
        <v>1738.96</v>
      </c>
      <c r="BG12" s="5">
        <v>3452.34</v>
      </c>
      <c r="BH12" s="5">
        <v>1917.97</v>
      </c>
      <c r="BI12" s="5">
        <v>1751.74</v>
      </c>
      <c r="BJ12" s="5">
        <v>0</v>
      </c>
      <c r="BK12" s="5">
        <v>2506.15</v>
      </c>
      <c r="BL12" s="5">
        <v>1892.39</v>
      </c>
      <c r="BM12" s="5">
        <v>0</v>
      </c>
      <c r="BN12" s="5">
        <v>0</v>
      </c>
      <c r="BO12" s="5">
        <f t="shared" ref="BO12:BO14" si="4">SUM(BC12:BN12)</f>
        <v>25163.730000000003</v>
      </c>
      <c r="BP12" s="5">
        <v>0</v>
      </c>
      <c r="BQ12" s="5">
        <v>0</v>
      </c>
      <c r="BR12" s="5">
        <v>0</v>
      </c>
      <c r="BS12" s="5">
        <v>0</v>
      </c>
      <c r="BT12" s="5">
        <v>0</v>
      </c>
      <c r="BU12" s="5">
        <v>0</v>
      </c>
      <c r="BV12" s="5">
        <v>0</v>
      </c>
      <c r="BW12" s="5">
        <v>0</v>
      </c>
      <c r="BX12" s="5">
        <v>0</v>
      </c>
      <c r="BY12" s="5">
        <v>0</v>
      </c>
      <c r="BZ12" s="5">
        <v>0</v>
      </c>
      <c r="CA12" s="5">
        <v>0</v>
      </c>
      <c r="CB12" s="5">
        <f t="shared" ref="CB12:CB14" si="5">SUM(BP12:CA12)</f>
        <v>0</v>
      </c>
      <c r="CC12" s="5"/>
      <c r="CD12" s="5"/>
    </row>
    <row r="13" spans="1:83" x14ac:dyDescent="0.25">
      <c r="A13" s="3" t="s">
        <v>21</v>
      </c>
      <c r="B13" s="8" t="s">
        <v>39</v>
      </c>
      <c r="C13" s="5">
        <v>300</v>
      </c>
      <c r="D13" s="5">
        <v>0</v>
      </c>
      <c r="E13" s="5">
        <v>0</v>
      </c>
      <c r="F13" s="5">
        <v>1087.8200000000002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f t="shared" si="0"/>
        <v>1387.8200000000002</v>
      </c>
      <c r="P13" s="5">
        <v>13</v>
      </c>
      <c r="Q13" s="5">
        <v>0</v>
      </c>
      <c r="R13" s="5">
        <v>400</v>
      </c>
      <c r="S13" s="5">
        <v>0</v>
      </c>
      <c r="T13" s="5">
        <v>0</v>
      </c>
      <c r="U13" s="5">
        <v>81.820000000000007</v>
      </c>
      <c r="V13" s="5">
        <v>0</v>
      </c>
      <c r="W13" s="5">
        <v>0</v>
      </c>
      <c r="X13" s="5">
        <v>0</v>
      </c>
      <c r="Y13" s="5">
        <v>0</v>
      </c>
      <c r="Z13" s="5">
        <v>300</v>
      </c>
      <c r="AA13" s="5">
        <v>0</v>
      </c>
      <c r="AB13" s="5">
        <f t="shared" si="1"/>
        <v>794.81999999999994</v>
      </c>
      <c r="AC13" s="5">
        <v>0</v>
      </c>
      <c r="AD13" s="5">
        <v>175.53</v>
      </c>
      <c r="AE13" s="5">
        <v>537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f t="shared" si="2"/>
        <v>712.53</v>
      </c>
      <c r="AP13" s="5">
        <v>924.75</v>
      </c>
      <c r="AQ13" s="5">
        <v>0</v>
      </c>
      <c r="AR13" s="5">
        <v>0</v>
      </c>
      <c r="AS13" s="5">
        <v>0</v>
      </c>
      <c r="AT13" s="5">
        <v>0</v>
      </c>
      <c r="AU13" s="5">
        <v>750</v>
      </c>
      <c r="AV13" s="5">
        <v>100</v>
      </c>
      <c r="AW13" s="5">
        <v>0</v>
      </c>
      <c r="AX13" s="5">
        <v>360.5</v>
      </c>
      <c r="AY13" s="5">
        <v>0</v>
      </c>
      <c r="AZ13" s="5">
        <v>100</v>
      </c>
      <c r="BA13" s="5">
        <v>0</v>
      </c>
      <c r="BB13" s="5">
        <f t="shared" si="3"/>
        <v>2235.25</v>
      </c>
      <c r="BC13" s="5">
        <v>0</v>
      </c>
      <c r="BD13" s="5">
        <v>0</v>
      </c>
      <c r="BE13" s="5">
        <v>69.09</v>
      </c>
      <c r="BF13" s="5">
        <v>0</v>
      </c>
      <c r="BG13" s="5">
        <v>0</v>
      </c>
      <c r="BH13" s="5">
        <v>250</v>
      </c>
      <c r="BI13" s="5">
        <v>0</v>
      </c>
      <c r="BJ13" s="5">
        <v>0</v>
      </c>
      <c r="BK13" s="5">
        <v>0</v>
      </c>
      <c r="BL13" s="5">
        <v>0</v>
      </c>
      <c r="BM13" s="5">
        <v>0</v>
      </c>
      <c r="BN13" s="5">
        <v>0</v>
      </c>
      <c r="BO13" s="5">
        <f t="shared" si="4"/>
        <v>319.09000000000003</v>
      </c>
      <c r="BP13" s="5">
        <v>0</v>
      </c>
      <c r="BQ13" s="5">
        <v>0</v>
      </c>
      <c r="BR13" s="5">
        <v>350</v>
      </c>
      <c r="BS13" s="5">
        <v>0</v>
      </c>
      <c r="BT13" s="5">
        <v>0</v>
      </c>
      <c r="BU13" s="5">
        <v>0</v>
      </c>
      <c r="BV13" s="5">
        <v>0</v>
      </c>
      <c r="BW13" s="5">
        <v>0</v>
      </c>
      <c r="BX13" s="5">
        <v>0</v>
      </c>
      <c r="BY13" s="5">
        <v>0</v>
      </c>
      <c r="BZ13" s="5">
        <v>0</v>
      </c>
      <c r="CA13" s="5">
        <v>50</v>
      </c>
      <c r="CB13" s="5">
        <f t="shared" si="5"/>
        <v>400</v>
      </c>
      <c r="CC13" s="5"/>
      <c r="CD13" s="5"/>
    </row>
    <row r="14" spans="1:83" x14ac:dyDescent="0.25">
      <c r="A14" s="4" t="s">
        <v>22</v>
      </c>
      <c r="B14" s="4" t="s">
        <v>40</v>
      </c>
      <c r="C14" s="5">
        <v>182212.06</v>
      </c>
      <c r="D14" s="5">
        <v>216968.99</v>
      </c>
      <c r="E14" s="5">
        <v>265392.89</v>
      </c>
      <c r="F14" s="5">
        <v>270813.39</v>
      </c>
      <c r="G14" s="5">
        <v>156162.72</v>
      </c>
      <c r="H14" s="5">
        <v>169996.48</v>
      </c>
      <c r="I14" s="5">
        <v>168100.03999999998</v>
      </c>
      <c r="J14" s="5">
        <v>172082.21000000002</v>
      </c>
      <c r="K14" s="5">
        <v>161209.62</v>
      </c>
      <c r="L14" s="5">
        <v>254004.27</v>
      </c>
      <c r="M14" s="5">
        <v>199092.63</v>
      </c>
      <c r="N14" s="5">
        <v>243025.5</v>
      </c>
      <c r="O14" s="5">
        <f t="shared" si="0"/>
        <v>2459060.7999999998</v>
      </c>
      <c r="P14" s="7">
        <v>127502.71</v>
      </c>
      <c r="Q14" s="7">
        <v>191012.35</v>
      </c>
      <c r="R14" s="7">
        <v>222841.05000000002</v>
      </c>
      <c r="S14" s="7">
        <v>233541.28000000003</v>
      </c>
      <c r="T14" s="7">
        <v>214604.22</v>
      </c>
      <c r="U14" s="7">
        <v>223694.11000000002</v>
      </c>
      <c r="V14" s="7">
        <v>236663.09</v>
      </c>
      <c r="W14" s="7">
        <v>204839.39000000004</v>
      </c>
      <c r="X14" s="7">
        <v>195364.78000000003</v>
      </c>
      <c r="Y14" s="7">
        <v>186598.39</v>
      </c>
      <c r="Z14" s="7">
        <v>188224.70000000004</v>
      </c>
      <c r="AA14" s="7">
        <v>217807.91999999998</v>
      </c>
      <c r="AB14" s="7">
        <f t="shared" si="1"/>
        <v>2442693.9900000002</v>
      </c>
      <c r="AC14" s="7">
        <v>176910.33</v>
      </c>
      <c r="AD14" s="7">
        <v>176208.32</v>
      </c>
      <c r="AE14" s="7">
        <v>194335.37</v>
      </c>
      <c r="AF14" s="7">
        <v>177693.03</v>
      </c>
      <c r="AG14" s="7">
        <v>245850.44</v>
      </c>
      <c r="AH14" s="7">
        <v>291653.99</v>
      </c>
      <c r="AI14" s="7">
        <v>318979.05</v>
      </c>
      <c r="AJ14" s="7">
        <v>316189.07</v>
      </c>
      <c r="AK14" s="7">
        <v>287548.82</v>
      </c>
      <c r="AL14" s="7">
        <v>282635.59000000003</v>
      </c>
      <c r="AM14" s="7">
        <v>307219.03999999998</v>
      </c>
      <c r="AN14" s="7">
        <v>314749.69</v>
      </c>
      <c r="AO14" s="7">
        <f t="shared" si="2"/>
        <v>3089972.7399999998</v>
      </c>
      <c r="AP14" s="7">
        <v>293572.8</v>
      </c>
      <c r="AQ14" s="7">
        <v>279410.10000000003</v>
      </c>
      <c r="AR14" s="7">
        <v>298622.32000000007</v>
      </c>
      <c r="AS14" s="7">
        <v>358144.89</v>
      </c>
      <c r="AT14" s="7">
        <v>343123.33</v>
      </c>
      <c r="AU14" s="7">
        <v>328811.32</v>
      </c>
      <c r="AV14" s="7">
        <v>270168.26</v>
      </c>
      <c r="AW14" s="7">
        <v>292226.68</v>
      </c>
      <c r="AX14" s="7">
        <v>254911.22000000003</v>
      </c>
      <c r="AY14" s="7">
        <v>288242.93</v>
      </c>
      <c r="AZ14" s="7">
        <v>302783.83</v>
      </c>
      <c r="BA14" s="7">
        <v>267714.65999999997</v>
      </c>
      <c r="BB14" s="7">
        <f t="shared" si="3"/>
        <v>3577732.3400000012</v>
      </c>
      <c r="BC14" s="7">
        <v>286256.27999999997</v>
      </c>
      <c r="BD14" s="7">
        <v>243137.69000000003</v>
      </c>
      <c r="BE14" s="7">
        <v>257217.5</v>
      </c>
      <c r="BF14" s="7">
        <v>183908.52999999997</v>
      </c>
      <c r="BG14" s="7">
        <v>146343.16</v>
      </c>
      <c r="BH14" s="7">
        <v>22125.280000000002</v>
      </c>
      <c r="BI14" s="7">
        <v>65139.580000000009</v>
      </c>
      <c r="BJ14" s="7">
        <v>38826.67</v>
      </c>
      <c r="BK14" s="7">
        <v>54014.020000000004</v>
      </c>
      <c r="BL14" s="7">
        <v>1309101.6299999999</v>
      </c>
      <c r="BM14" s="7">
        <v>288006.75999999995</v>
      </c>
      <c r="BN14" s="7">
        <v>321895.51</v>
      </c>
      <c r="BO14" s="7">
        <f t="shared" si="4"/>
        <v>3215972.6099999994</v>
      </c>
      <c r="BP14" s="7">
        <v>224312.88</v>
      </c>
      <c r="BQ14" s="7">
        <v>237319.51000000004</v>
      </c>
      <c r="BR14" s="7">
        <v>234089.48000000004</v>
      </c>
      <c r="BS14" s="7">
        <v>217531.13999999998</v>
      </c>
      <c r="BT14" s="7">
        <v>202073.33</v>
      </c>
      <c r="BU14" s="7">
        <v>272459.38</v>
      </c>
      <c r="BV14" s="7">
        <v>275604.69</v>
      </c>
      <c r="BW14" s="7">
        <v>226917.53000000003</v>
      </c>
      <c r="BX14" s="7">
        <v>244923.84000000003</v>
      </c>
      <c r="BY14" s="7">
        <v>199111.08000000002</v>
      </c>
      <c r="BZ14" s="7">
        <v>296329.34999999998</v>
      </c>
      <c r="CA14" s="7">
        <v>242889.47000000003</v>
      </c>
      <c r="CB14" s="7">
        <f t="shared" si="5"/>
        <v>2873561.6800000006</v>
      </c>
      <c r="CC14" s="5"/>
      <c r="CD14" s="5"/>
    </row>
    <row r="15" spans="1:83" x14ac:dyDescent="0.25">
      <c r="A15" s="4"/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5"/>
      <c r="CD15" s="5"/>
    </row>
    <row r="16" spans="1:83" x14ac:dyDescent="0.25">
      <c r="A16" s="4" t="s">
        <v>23</v>
      </c>
      <c r="B16" s="8" t="s">
        <v>41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4646.4000000000005</v>
      </c>
      <c r="J16" s="5">
        <v>4109.8</v>
      </c>
      <c r="K16" s="5">
        <v>0</v>
      </c>
      <c r="L16" s="5">
        <v>0</v>
      </c>
      <c r="M16" s="5">
        <v>0</v>
      </c>
      <c r="N16" s="5">
        <v>0</v>
      </c>
      <c r="O16" s="5">
        <f>SUM(C16:N16)</f>
        <v>8756.2000000000007</v>
      </c>
      <c r="P16" s="5">
        <v>46012.77</v>
      </c>
      <c r="Q16" s="5">
        <v>0</v>
      </c>
      <c r="R16" s="5">
        <v>12979.4</v>
      </c>
      <c r="S16" s="5">
        <v>0</v>
      </c>
      <c r="T16" s="5">
        <v>0</v>
      </c>
      <c r="U16" s="5">
        <v>0</v>
      </c>
      <c r="V16" s="5">
        <v>0</v>
      </c>
      <c r="W16" s="5">
        <v>4092.17</v>
      </c>
      <c r="X16" s="5">
        <v>4718.76</v>
      </c>
      <c r="Y16" s="5">
        <v>55826.14</v>
      </c>
      <c r="Z16" s="5">
        <v>8846</v>
      </c>
      <c r="AA16" s="5">
        <v>3643.89</v>
      </c>
      <c r="AB16" s="5">
        <f>SUM(P16:AA16)</f>
        <v>136119.13</v>
      </c>
      <c r="AC16" s="5">
        <v>0</v>
      </c>
      <c r="AD16" s="5">
        <v>9445.6299999999992</v>
      </c>
      <c r="AE16" s="5">
        <v>8345.7199999999993</v>
      </c>
      <c r="AF16" s="5">
        <v>0</v>
      </c>
      <c r="AG16" s="5">
        <v>0</v>
      </c>
      <c r="AH16" s="5">
        <v>166.51</v>
      </c>
      <c r="AI16" s="5">
        <v>4751.9399999999996</v>
      </c>
      <c r="AJ16" s="5">
        <v>23</v>
      </c>
      <c r="AK16" s="5">
        <v>4794.46</v>
      </c>
      <c r="AL16" s="5">
        <v>43.45</v>
      </c>
      <c r="AM16" s="5">
        <v>11706.65</v>
      </c>
      <c r="AN16" s="5">
        <v>4599.41</v>
      </c>
      <c r="AO16" s="5">
        <f>SUM(AC16:AN16)</f>
        <v>43876.76999999999</v>
      </c>
      <c r="AP16" s="5">
        <v>49.15</v>
      </c>
      <c r="AQ16" s="5">
        <v>44.59</v>
      </c>
      <c r="AR16" s="5">
        <v>5892.52</v>
      </c>
      <c r="AS16" s="5">
        <v>4399.1400000000003</v>
      </c>
      <c r="AT16" s="5">
        <v>-1930.2</v>
      </c>
      <c r="AU16" s="5">
        <v>0</v>
      </c>
      <c r="AV16" s="5">
        <v>13334.74</v>
      </c>
      <c r="AW16" s="5">
        <v>8971.2800000000007</v>
      </c>
      <c r="AX16" s="5">
        <v>1863.24</v>
      </c>
      <c r="AY16" s="5">
        <v>7339.35</v>
      </c>
      <c r="AZ16" s="5">
        <v>3282.03</v>
      </c>
      <c r="BA16" s="5">
        <v>3319.54</v>
      </c>
      <c r="BB16" s="5">
        <f>SUM(AP16:BA16)</f>
        <v>46565.380000000005</v>
      </c>
      <c r="BC16" s="5">
        <v>4250.3</v>
      </c>
      <c r="BD16" s="5">
        <v>1633.4</v>
      </c>
      <c r="BE16" s="5">
        <v>0</v>
      </c>
      <c r="BF16" s="5">
        <v>2.17</v>
      </c>
      <c r="BG16" s="5">
        <v>2.09</v>
      </c>
      <c r="BH16" s="5">
        <v>0</v>
      </c>
      <c r="BI16" s="5">
        <v>0</v>
      </c>
      <c r="BJ16" s="5">
        <v>66.430000000000007</v>
      </c>
      <c r="BK16" s="5">
        <v>31.01</v>
      </c>
      <c r="BL16" s="5">
        <v>1558.53</v>
      </c>
      <c r="BM16" s="5">
        <v>162.74</v>
      </c>
      <c r="BN16" s="5">
        <v>51.77</v>
      </c>
      <c r="BO16" s="5">
        <f>SUM(BC16:BN16)</f>
        <v>7758.4400000000014</v>
      </c>
      <c r="BP16" s="5">
        <v>263.27999999999997</v>
      </c>
      <c r="BQ16" s="5">
        <v>2.06</v>
      </c>
      <c r="BR16" s="5">
        <v>4632.45</v>
      </c>
      <c r="BS16" s="5">
        <v>4106.04</v>
      </c>
      <c r="BT16" s="5">
        <v>1888.53</v>
      </c>
      <c r="BU16" s="5">
        <v>5623.55</v>
      </c>
      <c r="BV16" s="5">
        <v>6431.63</v>
      </c>
      <c r="BW16" s="5">
        <v>844.13</v>
      </c>
      <c r="BX16" s="5">
        <v>-1141.01</v>
      </c>
      <c r="BY16" s="5">
        <v>1554.5900000000001</v>
      </c>
      <c r="BZ16" s="5">
        <v>993.63</v>
      </c>
      <c r="CA16" s="5">
        <v>440.32</v>
      </c>
      <c r="CB16" s="5">
        <f>SUM(BP16:CA16)</f>
        <v>25639.200000000004</v>
      </c>
      <c r="CC16" s="5"/>
      <c r="CD16" s="5"/>
    </row>
    <row r="17" spans="1:82" x14ac:dyDescent="0.25">
      <c r="A17" s="4"/>
      <c r="B17" s="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</row>
    <row r="18" spans="1:82" x14ac:dyDescent="0.25">
      <c r="A18" s="3" t="s">
        <v>24</v>
      </c>
      <c r="B18" s="8" t="s">
        <v>42</v>
      </c>
      <c r="C18" s="5">
        <v>963.07</v>
      </c>
      <c r="D18" s="5">
        <v>1.0000000000000284</v>
      </c>
      <c r="E18" s="5">
        <v>2934.56</v>
      </c>
      <c r="F18" s="5">
        <v>1062.0600000000002</v>
      </c>
      <c r="G18" s="5">
        <v>338.83</v>
      </c>
      <c r="H18" s="5">
        <v>235.56</v>
      </c>
      <c r="I18" s="5">
        <v>1320.11</v>
      </c>
      <c r="J18" s="5">
        <v>1518.4299999999998</v>
      </c>
      <c r="K18" s="5">
        <v>192.75</v>
      </c>
      <c r="L18" s="5">
        <v>1128.33</v>
      </c>
      <c r="M18" s="5">
        <v>74.100000000000009</v>
      </c>
      <c r="N18" s="5">
        <v>801.7</v>
      </c>
      <c r="O18" s="5">
        <f t="shared" ref="O18:O23" si="6">SUM(C18:N18)</f>
        <v>10570.500000000002</v>
      </c>
      <c r="P18" s="5">
        <v>1818.4299999999998</v>
      </c>
      <c r="Q18" s="5">
        <v>585.07000000000005</v>
      </c>
      <c r="R18" s="5">
        <v>767.03</v>
      </c>
      <c r="S18" s="5">
        <v>416.82</v>
      </c>
      <c r="T18" s="5">
        <v>715.69999999999993</v>
      </c>
      <c r="U18" s="5">
        <v>80.91</v>
      </c>
      <c r="V18" s="5">
        <v>395.71000000000004</v>
      </c>
      <c r="W18" s="5">
        <v>1050.32</v>
      </c>
      <c r="X18" s="5">
        <v>697.0100000000001</v>
      </c>
      <c r="Y18" s="5">
        <v>318.26</v>
      </c>
      <c r="Z18" s="5">
        <v>752.77</v>
      </c>
      <c r="AA18" s="5">
        <v>1073.5</v>
      </c>
      <c r="AB18" s="5">
        <f t="shared" ref="AB18:AB23" si="7">SUM(P18:AA18)</f>
        <v>8671.5300000000007</v>
      </c>
      <c r="AC18" s="5">
        <v>533.04</v>
      </c>
      <c r="AD18" s="5">
        <v>477.90000000000003</v>
      </c>
      <c r="AE18" s="5">
        <v>2196.5700000000002</v>
      </c>
      <c r="AF18" s="5">
        <v>379.03000000000003</v>
      </c>
      <c r="AG18" s="5">
        <v>918.15</v>
      </c>
      <c r="AH18" s="5">
        <v>911.80000000000007</v>
      </c>
      <c r="AI18" s="5">
        <v>1320.6000000000004</v>
      </c>
      <c r="AJ18" s="5">
        <v>2988.16</v>
      </c>
      <c r="AK18" s="5">
        <v>571.84</v>
      </c>
      <c r="AL18" s="5">
        <v>452.45</v>
      </c>
      <c r="AM18" s="5">
        <v>15.72</v>
      </c>
      <c r="AN18" s="5">
        <v>1125.7900000000002</v>
      </c>
      <c r="AO18" s="5">
        <f t="shared" ref="AO18:AO23" si="8">SUM(AC18:AN18)</f>
        <v>11891.050000000001</v>
      </c>
      <c r="AP18" s="5">
        <v>822.81</v>
      </c>
      <c r="AQ18" s="5">
        <v>463.83000000000004</v>
      </c>
      <c r="AR18" s="5">
        <v>37.35</v>
      </c>
      <c r="AS18" s="5">
        <v>1432.96</v>
      </c>
      <c r="AT18" s="5">
        <v>570.08000000000004</v>
      </c>
      <c r="AU18" s="5">
        <v>427.78</v>
      </c>
      <c r="AV18" s="5">
        <v>1904.03</v>
      </c>
      <c r="AW18" s="5">
        <v>2250.06</v>
      </c>
      <c r="AX18" s="5">
        <v>356</v>
      </c>
      <c r="AY18" s="5">
        <v>1489</v>
      </c>
      <c r="AZ18" s="5">
        <v>2545.23</v>
      </c>
      <c r="BA18" s="5">
        <v>214.45999999999998</v>
      </c>
      <c r="BB18" s="5">
        <f t="shared" ref="BB18:BB23" si="9">SUM(AP18:BA18)</f>
        <v>12513.589999999998</v>
      </c>
      <c r="BC18" s="5">
        <v>202.75</v>
      </c>
      <c r="BD18" s="5">
        <v>975.94</v>
      </c>
      <c r="BE18" s="5">
        <v>1534.89</v>
      </c>
      <c r="BF18" s="5">
        <v>275.15999999999997</v>
      </c>
      <c r="BG18" s="5">
        <v>547.04</v>
      </c>
      <c r="BH18" s="5">
        <v>39.760000000000005</v>
      </c>
      <c r="BI18" s="5">
        <v>1252.5400000000002</v>
      </c>
      <c r="BJ18" s="5">
        <v>1065.1799999999998</v>
      </c>
      <c r="BK18" s="5">
        <v>493.78999999999996</v>
      </c>
      <c r="BL18" s="5">
        <v>413.84000000000003</v>
      </c>
      <c r="BM18" s="5">
        <v>572.24</v>
      </c>
      <c r="BN18" s="5">
        <v>2194.2200000000003</v>
      </c>
      <c r="BO18" s="5">
        <f t="shared" ref="BO18:BO23" si="10">SUM(BC18:BN18)</f>
        <v>9567.35</v>
      </c>
      <c r="BP18" s="5">
        <v>1145.8200000000002</v>
      </c>
      <c r="BQ18" s="5">
        <v>889.31000000000017</v>
      </c>
      <c r="BR18" s="5">
        <v>2660.38</v>
      </c>
      <c r="BS18" s="5">
        <v>2350.6800000000003</v>
      </c>
      <c r="BT18" s="5">
        <v>988.23</v>
      </c>
      <c r="BU18" s="5">
        <v>1073.6599999999999</v>
      </c>
      <c r="BV18" s="5">
        <v>843.21</v>
      </c>
      <c r="BW18" s="5">
        <v>1103.55</v>
      </c>
      <c r="BX18" s="5">
        <v>1664.5100000000002</v>
      </c>
      <c r="BY18" s="5">
        <v>914.7399999999999</v>
      </c>
      <c r="BZ18" s="5">
        <v>372.89</v>
      </c>
      <c r="CA18" s="5">
        <v>576.89</v>
      </c>
      <c r="CB18" s="5">
        <f t="shared" ref="CB18:CB23" si="11">SUM(BP18:CA18)</f>
        <v>14583.869999999999</v>
      </c>
      <c r="CC18" s="5"/>
      <c r="CD18" s="5"/>
    </row>
    <row r="19" spans="1:82" x14ac:dyDescent="0.25">
      <c r="A19" s="3" t="s">
        <v>25</v>
      </c>
      <c r="B19" s="8" t="s">
        <v>25</v>
      </c>
      <c r="C19" s="5">
        <v>133.64000000000001</v>
      </c>
      <c r="D19" s="5">
        <v>494.27000000000004</v>
      </c>
      <c r="E19" s="5">
        <v>0</v>
      </c>
      <c r="F19" s="5">
        <v>388.19</v>
      </c>
      <c r="G19" s="5">
        <v>512.27</v>
      </c>
      <c r="H19" s="5">
        <v>70.91</v>
      </c>
      <c r="I19" s="5">
        <v>272.72000000000003</v>
      </c>
      <c r="J19" s="5">
        <v>717.09</v>
      </c>
      <c r="K19" s="5">
        <v>684.49</v>
      </c>
      <c r="L19" s="5">
        <v>322.10000000000002</v>
      </c>
      <c r="M19" s="5">
        <v>508.55000000000007</v>
      </c>
      <c r="N19" s="5">
        <v>280.55</v>
      </c>
      <c r="O19" s="5">
        <f t="shared" si="6"/>
        <v>4384.78</v>
      </c>
      <c r="P19" s="5">
        <v>135.55000000000001</v>
      </c>
      <c r="Q19" s="5">
        <v>0</v>
      </c>
      <c r="R19" s="5">
        <v>0</v>
      </c>
      <c r="S19" s="5">
        <v>345.82</v>
      </c>
      <c r="T19" s="5">
        <v>0</v>
      </c>
      <c r="U19" s="5">
        <v>346.35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f t="shared" si="7"/>
        <v>827.72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230.45000000000002</v>
      </c>
      <c r="AN19" s="5">
        <v>31.64</v>
      </c>
      <c r="AO19" s="5">
        <f t="shared" si="8"/>
        <v>262.09000000000003</v>
      </c>
      <c r="AP19" s="5">
        <v>0</v>
      </c>
      <c r="AQ19" s="5">
        <v>0</v>
      </c>
      <c r="AR19" s="5">
        <v>198</v>
      </c>
      <c r="AS19" s="5">
        <v>0</v>
      </c>
      <c r="AT19" s="5">
        <v>0</v>
      </c>
      <c r="AU19" s="5">
        <v>0</v>
      </c>
      <c r="AV19" s="5">
        <v>132.22999999999999</v>
      </c>
      <c r="AW19" s="5">
        <v>0</v>
      </c>
      <c r="AX19" s="5">
        <v>0</v>
      </c>
      <c r="AY19" s="5">
        <v>388.00000000000006</v>
      </c>
      <c r="AZ19" s="5">
        <v>135.09</v>
      </c>
      <c r="BA19" s="5">
        <v>129.77000000000001</v>
      </c>
      <c r="BB19" s="5">
        <f t="shared" si="9"/>
        <v>983.09</v>
      </c>
      <c r="BC19" s="5">
        <v>129</v>
      </c>
      <c r="BD19" s="5">
        <v>128.41</v>
      </c>
      <c r="BE19" s="5">
        <v>226.27</v>
      </c>
      <c r="BF19" s="5">
        <v>264.08</v>
      </c>
      <c r="BG19" s="5">
        <v>543.47</v>
      </c>
      <c r="BH19" s="5">
        <v>0</v>
      </c>
      <c r="BI19" s="5">
        <v>395.13</v>
      </c>
      <c r="BJ19" s="5">
        <v>0</v>
      </c>
      <c r="BK19" s="5">
        <v>0</v>
      </c>
      <c r="BL19" s="5">
        <v>0</v>
      </c>
      <c r="BM19" s="5">
        <v>50</v>
      </c>
      <c r="BN19" s="5">
        <v>0</v>
      </c>
      <c r="BO19" s="5">
        <f t="shared" si="10"/>
        <v>1736.3600000000001</v>
      </c>
      <c r="BP19" s="5">
        <v>0</v>
      </c>
      <c r="BQ19" s="5">
        <v>595.46</v>
      </c>
      <c r="BR19" s="5">
        <v>0</v>
      </c>
      <c r="BS19" s="5">
        <v>0</v>
      </c>
      <c r="BT19" s="5">
        <v>0</v>
      </c>
      <c r="BU19" s="5">
        <v>0</v>
      </c>
      <c r="BV19" s="5">
        <v>0</v>
      </c>
      <c r="BW19" s="5">
        <v>0</v>
      </c>
      <c r="BX19" s="5">
        <v>350</v>
      </c>
      <c r="BY19" s="5">
        <v>506.53999999999996</v>
      </c>
      <c r="BZ19" s="5">
        <v>736.37</v>
      </c>
      <c r="CA19" s="5">
        <v>0</v>
      </c>
      <c r="CB19" s="5">
        <f t="shared" si="11"/>
        <v>2188.37</v>
      </c>
      <c r="CC19" s="5"/>
      <c r="CD19" s="5"/>
    </row>
    <row r="20" spans="1:82" x14ac:dyDescent="0.25">
      <c r="A20" s="3" t="s">
        <v>26</v>
      </c>
      <c r="B20" s="8" t="s">
        <v>43</v>
      </c>
      <c r="C20" s="5">
        <v>90.01</v>
      </c>
      <c r="D20" s="5">
        <v>218.88000000000002</v>
      </c>
      <c r="E20" s="5">
        <v>298.93</v>
      </c>
      <c r="F20" s="5">
        <v>420.82000000000005</v>
      </c>
      <c r="G20" s="5">
        <v>98.86999999999999</v>
      </c>
      <c r="H20" s="5">
        <v>84.4</v>
      </c>
      <c r="I20" s="5">
        <v>134.03</v>
      </c>
      <c r="J20" s="5">
        <v>168.23000000000002</v>
      </c>
      <c r="K20" s="5">
        <v>216.27</v>
      </c>
      <c r="L20" s="5">
        <v>261.94</v>
      </c>
      <c r="M20" s="5">
        <v>168.23</v>
      </c>
      <c r="N20" s="5">
        <v>61.730000000000004</v>
      </c>
      <c r="O20" s="5">
        <f t="shared" si="6"/>
        <v>2222.34</v>
      </c>
      <c r="P20" s="5">
        <v>0</v>
      </c>
      <c r="Q20" s="5">
        <v>602.85</v>
      </c>
      <c r="R20" s="5">
        <v>633.02</v>
      </c>
      <c r="S20" s="5">
        <v>1071.54</v>
      </c>
      <c r="T20" s="5">
        <v>268</v>
      </c>
      <c r="U20" s="5">
        <v>444.26</v>
      </c>
      <c r="V20" s="5">
        <v>304.97000000000003</v>
      </c>
      <c r="W20" s="5">
        <v>374.97</v>
      </c>
      <c r="X20" s="5">
        <v>441.76</v>
      </c>
      <c r="Y20" s="5">
        <v>893.65</v>
      </c>
      <c r="Z20" s="5">
        <v>281.24</v>
      </c>
      <c r="AA20" s="5">
        <v>187.96</v>
      </c>
      <c r="AB20" s="5">
        <f t="shared" si="7"/>
        <v>5504.22</v>
      </c>
      <c r="AC20" s="5">
        <v>586.32000000000005</v>
      </c>
      <c r="AD20" s="5">
        <v>352.39</v>
      </c>
      <c r="AE20" s="5">
        <v>61.769999999999996</v>
      </c>
      <c r="AF20" s="5">
        <v>89.100000000000009</v>
      </c>
      <c r="AG20" s="5">
        <v>161.46</v>
      </c>
      <c r="AH20" s="5">
        <v>208.89000000000001</v>
      </c>
      <c r="AI20" s="5">
        <v>45.800000000000004</v>
      </c>
      <c r="AJ20" s="5">
        <v>-1619.71</v>
      </c>
      <c r="AK20" s="5">
        <v>309.36</v>
      </c>
      <c r="AL20" s="5">
        <v>206.34</v>
      </c>
      <c r="AM20" s="5">
        <v>404.2</v>
      </c>
      <c r="AN20" s="5">
        <v>-48.33</v>
      </c>
      <c r="AO20" s="5">
        <f t="shared" si="8"/>
        <v>757.59</v>
      </c>
      <c r="AP20" s="5">
        <v>53.77</v>
      </c>
      <c r="AQ20" s="5">
        <v>252.20000000000002</v>
      </c>
      <c r="AR20" s="5">
        <v>148</v>
      </c>
      <c r="AS20" s="5">
        <v>99.09</v>
      </c>
      <c r="AT20" s="5">
        <v>347.24</v>
      </c>
      <c r="AU20" s="5">
        <v>141.43</v>
      </c>
      <c r="AV20" s="5">
        <v>341.66</v>
      </c>
      <c r="AW20" s="5">
        <v>592.76</v>
      </c>
      <c r="AX20" s="5">
        <v>633.68000000000006</v>
      </c>
      <c r="AY20" s="5">
        <v>0</v>
      </c>
      <c r="AZ20" s="5">
        <v>460.85</v>
      </c>
      <c r="BA20" s="5">
        <v>10</v>
      </c>
      <c r="BB20" s="5">
        <f t="shared" si="9"/>
        <v>3080.68</v>
      </c>
      <c r="BC20" s="5">
        <v>482.73</v>
      </c>
      <c r="BD20" s="5">
        <v>0</v>
      </c>
      <c r="BE20" s="5">
        <v>262.72000000000003</v>
      </c>
      <c r="BF20" s="5">
        <v>72.17</v>
      </c>
      <c r="BG20" s="5">
        <v>0</v>
      </c>
      <c r="BH20" s="5">
        <v>29.07</v>
      </c>
      <c r="BI20" s="5">
        <v>185.45000000000002</v>
      </c>
      <c r="BJ20" s="5">
        <v>0</v>
      </c>
      <c r="BK20" s="5">
        <v>0</v>
      </c>
      <c r="BL20" s="5">
        <v>18.14</v>
      </c>
      <c r="BM20" s="5">
        <v>620</v>
      </c>
      <c r="BN20" s="5">
        <v>0</v>
      </c>
      <c r="BO20" s="5">
        <f t="shared" si="10"/>
        <v>1670.2800000000002</v>
      </c>
      <c r="BP20" s="5">
        <v>0</v>
      </c>
      <c r="BQ20" s="5">
        <v>0</v>
      </c>
      <c r="BR20" s="5">
        <v>0</v>
      </c>
      <c r="BS20" s="5">
        <v>72.17</v>
      </c>
      <c r="BT20" s="5">
        <v>31.77</v>
      </c>
      <c r="BU20" s="5">
        <v>31.77</v>
      </c>
      <c r="BV20" s="5">
        <v>0</v>
      </c>
      <c r="BW20" s="5">
        <v>90</v>
      </c>
      <c r="BX20" s="5">
        <v>31.77</v>
      </c>
      <c r="BY20" s="5">
        <v>0</v>
      </c>
      <c r="BZ20" s="5">
        <v>105.74</v>
      </c>
      <c r="CA20" s="5">
        <v>0</v>
      </c>
      <c r="CB20" s="5">
        <f t="shared" si="11"/>
        <v>363.22</v>
      </c>
      <c r="CC20" s="5"/>
      <c r="CD20" s="5"/>
    </row>
    <row r="21" spans="1:82" x14ac:dyDescent="0.25">
      <c r="A21" s="3" t="s">
        <v>27</v>
      </c>
      <c r="B21" s="8" t="s">
        <v>44</v>
      </c>
      <c r="C21" s="5">
        <v>32515.69</v>
      </c>
      <c r="D21" s="5">
        <v>6035.8</v>
      </c>
      <c r="E21" s="5">
        <v>13574.43</v>
      </c>
      <c r="F21" s="5">
        <v>10409.77</v>
      </c>
      <c r="G21" s="5">
        <v>13445.26</v>
      </c>
      <c r="H21" s="5">
        <v>13753.62</v>
      </c>
      <c r="I21" s="5">
        <v>13921.3</v>
      </c>
      <c r="J21" s="5">
        <v>8431.81</v>
      </c>
      <c r="K21" s="5">
        <v>7176.57</v>
      </c>
      <c r="L21" s="5">
        <v>8103.38</v>
      </c>
      <c r="M21" s="5">
        <v>15270.26</v>
      </c>
      <c r="N21" s="5">
        <v>13924.28</v>
      </c>
      <c r="O21" s="5">
        <f t="shared" si="6"/>
        <v>156562.17000000001</v>
      </c>
      <c r="P21" s="5">
        <v>21727.300000000003</v>
      </c>
      <c r="Q21" s="5">
        <v>12968.42</v>
      </c>
      <c r="R21" s="5">
        <v>17419.920000000002</v>
      </c>
      <c r="S21" s="5">
        <v>23433.32</v>
      </c>
      <c r="T21" s="5">
        <v>33499.03</v>
      </c>
      <c r="U21" s="5">
        <v>39049.199999999997</v>
      </c>
      <c r="V21" s="5">
        <v>34317.15</v>
      </c>
      <c r="W21" s="5">
        <v>12617.25</v>
      </c>
      <c r="X21" s="5">
        <v>12305.61</v>
      </c>
      <c r="Y21" s="5">
        <v>13181.42</v>
      </c>
      <c r="Z21" s="5">
        <v>11017.359999999999</v>
      </c>
      <c r="AA21" s="5">
        <v>11051.42</v>
      </c>
      <c r="AB21" s="5">
        <f t="shared" si="7"/>
        <v>242587.40000000002</v>
      </c>
      <c r="AC21" s="5">
        <v>13716.44</v>
      </c>
      <c r="AD21" s="5">
        <v>9456.74</v>
      </c>
      <c r="AE21" s="5">
        <v>9612.7000000000007</v>
      </c>
      <c r="AF21" s="5">
        <v>10877.73</v>
      </c>
      <c r="AG21" s="5">
        <v>13431.27</v>
      </c>
      <c r="AH21" s="5">
        <v>12192.78</v>
      </c>
      <c r="AI21" s="5">
        <v>11836.039999999999</v>
      </c>
      <c r="AJ21" s="5">
        <v>12902.689999999999</v>
      </c>
      <c r="AK21" s="5">
        <v>12293.25</v>
      </c>
      <c r="AL21" s="5">
        <v>12492.320000000002</v>
      </c>
      <c r="AM21" s="5">
        <v>13121.66</v>
      </c>
      <c r="AN21" s="5">
        <v>1565.25</v>
      </c>
      <c r="AO21" s="5">
        <f t="shared" si="8"/>
        <v>133498.87</v>
      </c>
      <c r="AP21" s="5">
        <v>13482.14</v>
      </c>
      <c r="AQ21" s="5">
        <v>13096.16</v>
      </c>
      <c r="AR21" s="5">
        <v>13486.29</v>
      </c>
      <c r="AS21" s="5">
        <v>14576.29</v>
      </c>
      <c r="AT21" s="5">
        <v>14505.16</v>
      </c>
      <c r="AU21" s="5">
        <v>14644.460000000001</v>
      </c>
      <c r="AV21" s="5">
        <v>17068.89</v>
      </c>
      <c r="AW21" s="5">
        <v>16760.650000000001</v>
      </c>
      <c r="AX21" s="5">
        <v>18107.29</v>
      </c>
      <c r="AY21" s="5">
        <v>13370.49</v>
      </c>
      <c r="AZ21" s="5">
        <v>13880.61</v>
      </c>
      <c r="BA21" s="5">
        <v>14946.32</v>
      </c>
      <c r="BB21" s="5">
        <f t="shared" si="9"/>
        <v>177924.75</v>
      </c>
      <c r="BC21" s="5">
        <v>12809.4</v>
      </c>
      <c r="BD21" s="5">
        <v>696.1</v>
      </c>
      <c r="BE21" s="5">
        <v>13576.970000000001</v>
      </c>
      <c r="BF21" s="5">
        <v>15211.13</v>
      </c>
      <c r="BG21" s="5">
        <v>10123.84</v>
      </c>
      <c r="BH21" s="5">
        <v>7981.4400000000005</v>
      </c>
      <c r="BI21" s="5">
        <v>11772.97</v>
      </c>
      <c r="BJ21" s="5">
        <v>15040.529999999999</v>
      </c>
      <c r="BK21" s="5">
        <v>11013.689999999999</v>
      </c>
      <c r="BL21" s="5">
        <v>12565.25</v>
      </c>
      <c r="BM21" s="5">
        <v>12813.599999999999</v>
      </c>
      <c r="BN21" s="5">
        <v>11272.89</v>
      </c>
      <c r="BO21" s="5">
        <f t="shared" si="10"/>
        <v>134877.81</v>
      </c>
      <c r="BP21" s="5">
        <v>10081.02</v>
      </c>
      <c r="BQ21" s="5">
        <v>11858.91</v>
      </c>
      <c r="BR21" s="5">
        <v>8851.89</v>
      </c>
      <c r="BS21" s="5">
        <v>10087.720000000001</v>
      </c>
      <c r="BT21" s="5">
        <v>12348.09</v>
      </c>
      <c r="BU21" s="5">
        <v>10077.35</v>
      </c>
      <c r="BV21" s="5">
        <v>9880.2999999999993</v>
      </c>
      <c r="BW21" s="5">
        <v>11765.64</v>
      </c>
      <c r="BX21" s="5">
        <v>12046.970000000001</v>
      </c>
      <c r="BY21" s="5">
        <v>16485.66</v>
      </c>
      <c r="BZ21" s="5">
        <v>14948.019999999999</v>
      </c>
      <c r="CA21" s="5">
        <v>19932.98</v>
      </c>
      <c r="CB21" s="5">
        <f t="shared" si="11"/>
        <v>148364.55000000002</v>
      </c>
      <c r="CC21" s="5"/>
      <c r="CD21" s="5"/>
    </row>
    <row r="22" spans="1:82" x14ac:dyDescent="0.25">
      <c r="A22" s="3" t="s">
        <v>28</v>
      </c>
      <c r="B22" s="8" t="s">
        <v>28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f t="shared" si="6"/>
        <v>0</v>
      </c>
      <c r="P22" s="5">
        <v>0</v>
      </c>
      <c r="Q22" s="5">
        <v>0</v>
      </c>
      <c r="R22" s="5">
        <v>0</v>
      </c>
      <c r="S22" s="5">
        <v>4662.4000000000005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f t="shared" si="7"/>
        <v>4662.4000000000005</v>
      </c>
      <c r="AC22" s="5">
        <v>277.56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900</v>
      </c>
      <c r="AM22" s="5">
        <v>0</v>
      </c>
      <c r="AN22" s="5">
        <v>0</v>
      </c>
      <c r="AO22" s="5">
        <f t="shared" si="8"/>
        <v>1177.56</v>
      </c>
      <c r="AP22" s="5">
        <v>0</v>
      </c>
      <c r="AQ22" s="5">
        <v>0</v>
      </c>
      <c r="AR22" s="5">
        <v>2100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5">
        <v>0</v>
      </c>
      <c r="BA22" s="5">
        <v>0</v>
      </c>
      <c r="BB22" s="5">
        <f t="shared" si="9"/>
        <v>2100</v>
      </c>
      <c r="BC22" s="5">
        <v>0</v>
      </c>
      <c r="BD22" s="5">
        <v>0</v>
      </c>
      <c r="BE22" s="5">
        <v>2682.27</v>
      </c>
      <c r="BF22" s="5">
        <v>0</v>
      </c>
      <c r="BG22" s="5">
        <v>0</v>
      </c>
      <c r="BH22" s="5">
        <v>0</v>
      </c>
      <c r="BI22" s="5">
        <v>172.53</v>
      </c>
      <c r="BJ22" s="5">
        <v>0</v>
      </c>
      <c r="BK22" s="5">
        <v>0</v>
      </c>
      <c r="BL22" s="5">
        <v>0</v>
      </c>
      <c r="BM22" s="5">
        <v>0</v>
      </c>
      <c r="BN22" s="5">
        <v>0</v>
      </c>
      <c r="BO22" s="5">
        <f t="shared" si="10"/>
        <v>2854.8</v>
      </c>
      <c r="BP22" s="5">
        <v>0</v>
      </c>
      <c r="BQ22" s="5">
        <v>0</v>
      </c>
      <c r="BR22" s="5">
        <v>0</v>
      </c>
      <c r="BS22" s="5">
        <v>0</v>
      </c>
      <c r="BT22" s="5">
        <v>0</v>
      </c>
      <c r="BU22" s="5">
        <v>0</v>
      </c>
      <c r="BV22" s="5">
        <v>0</v>
      </c>
      <c r="BW22" s="5">
        <v>0</v>
      </c>
      <c r="BX22" s="5">
        <v>0</v>
      </c>
      <c r="BY22" s="5">
        <v>0</v>
      </c>
      <c r="BZ22" s="5">
        <v>0</v>
      </c>
      <c r="CA22" s="5">
        <v>0</v>
      </c>
      <c r="CB22" s="5">
        <f t="shared" si="11"/>
        <v>0</v>
      </c>
      <c r="CC22" s="5"/>
      <c r="CD22" s="5"/>
    </row>
    <row r="23" spans="1:82" x14ac:dyDescent="0.25">
      <c r="A23" s="4" t="s">
        <v>29</v>
      </c>
      <c r="B23" s="4" t="s">
        <v>45</v>
      </c>
      <c r="C23" s="5">
        <v>33702.410000000003</v>
      </c>
      <c r="D23" s="5">
        <v>6749.95</v>
      </c>
      <c r="E23" s="5">
        <v>16807.920000000002</v>
      </c>
      <c r="F23" s="5">
        <v>12280.84</v>
      </c>
      <c r="G23" s="5">
        <v>14565.23</v>
      </c>
      <c r="H23" s="5">
        <v>14144.490000000002</v>
      </c>
      <c r="I23" s="5">
        <v>15648.16</v>
      </c>
      <c r="J23" s="5">
        <v>10835.56</v>
      </c>
      <c r="K23" s="5">
        <v>8270.08</v>
      </c>
      <c r="L23" s="5">
        <v>9815.75</v>
      </c>
      <c r="M23" s="5">
        <v>16021.14</v>
      </c>
      <c r="N23" s="5">
        <v>15068.26</v>
      </c>
      <c r="O23" s="5">
        <f t="shared" si="6"/>
        <v>173909.78999999998</v>
      </c>
      <c r="P23" s="7">
        <v>23681.279999999999</v>
      </c>
      <c r="Q23" s="7">
        <v>14156.34</v>
      </c>
      <c r="R23" s="7">
        <v>18819.97</v>
      </c>
      <c r="S23" s="7">
        <v>29929.9</v>
      </c>
      <c r="T23" s="7">
        <v>34791.83</v>
      </c>
      <c r="U23" s="7">
        <v>39920.719999999994</v>
      </c>
      <c r="V23" s="7">
        <v>35017.83</v>
      </c>
      <c r="W23" s="7">
        <v>14042.54</v>
      </c>
      <c r="X23" s="7">
        <v>13444.380000000001</v>
      </c>
      <c r="Y23" s="7">
        <v>14393.33</v>
      </c>
      <c r="Z23" s="7">
        <v>12051.369999999999</v>
      </c>
      <c r="AA23" s="7">
        <v>12312.880000000001</v>
      </c>
      <c r="AB23" s="7">
        <f t="shared" si="7"/>
        <v>262562.37</v>
      </c>
      <c r="AC23" s="7">
        <v>15113.36</v>
      </c>
      <c r="AD23" s="7">
        <v>10287.029999999999</v>
      </c>
      <c r="AE23" s="7">
        <v>11871.04</v>
      </c>
      <c r="AF23" s="7">
        <v>11345.859999999999</v>
      </c>
      <c r="AG23" s="7">
        <v>14510.880000000001</v>
      </c>
      <c r="AH23" s="7">
        <v>13561.970000000001</v>
      </c>
      <c r="AI23" s="7">
        <v>13202.439999999999</v>
      </c>
      <c r="AJ23" s="7">
        <v>14271.14</v>
      </c>
      <c r="AK23" s="7">
        <v>13174.45</v>
      </c>
      <c r="AL23" s="7">
        <v>14051.110000000002</v>
      </c>
      <c r="AM23" s="7">
        <v>13772.03</v>
      </c>
      <c r="AN23" s="7">
        <v>2674.3500000000004</v>
      </c>
      <c r="AO23" s="7">
        <f t="shared" si="8"/>
        <v>147835.66</v>
      </c>
      <c r="AP23" s="7">
        <v>14358.72</v>
      </c>
      <c r="AQ23" s="7">
        <v>13812.19</v>
      </c>
      <c r="AR23" s="7">
        <v>15969.640000000001</v>
      </c>
      <c r="AS23" s="7">
        <v>16108.34</v>
      </c>
      <c r="AT23" s="7">
        <v>15422.48</v>
      </c>
      <c r="AU23" s="7">
        <v>15213.670000000002</v>
      </c>
      <c r="AV23" s="7">
        <v>19446.809999999998</v>
      </c>
      <c r="AW23" s="7">
        <v>19603.47</v>
      </c>
      <c r="AX23" s="7">
        <v>19096.97</v>
      </c>
      <c r="AY23" s="7">
        <v>15247.49</v>
      </c>
      <c r="AZ23" s="7">
        <v>17021.78</v>
      </c>
      <c r="BA23" s="7">
        <v>15300.55</v>
      </c>
      <c r="BB23" s="7">
        <f t="shared" si="9"/>
        <v>196602.10999999996</v>
      </c>
      <c r="BC23" s="7">
        <v>13623.88</v>
      </c>
      <c r="BD23" s="7">
        <v>1800.4500000000003</v>
      </c>
      <c r="BE23" s="7">
        <v>18283.120000000003</v>
      </c>
      <c r="BF23" s="7">
        <v>15822.539999999999</v>
      </c>
      <c r="BG23" s="7">
        <v>11214.35</v>
      </c>
      <c r="BH23" s="7">
        <v>8050.27</v>
      </c>
      <c r="BI23" s="7">
        <v>13778.62</v>
      </c>
      <c r="BJ23" s="7">
        <v>16105.71</v>
      </c>
      <c r="BK23" s="7">
        <v>11507.48</v>
      </c>
      <c r="BL23" s="7">
        <v>12997.23</v>
      </c>
      <c r="BM23" s="7">
        <v>14055.839999999998</v>
      </c>
      <c r="BN23" s="7">
        <v>13467.11</v>
      </c>
      <c r="BO23" s="7">
        <f t="shared" si="10"/>
        <v>150706.59999999998</v>
      </c>
      <c r="BP23" s="7">
        <v>11226.84</v>
      </c>
      <c r="BQ23" s="7">
        <v>13343.68</v>
      </c>
      <c r="BR23" s="7">
        <v>11512.27</v>
      </c>
      <c r="BS23" s="7">
        <v>12510.57</v>
      </c>
      <c r="BT23" s="7">
        <v>13368.09</v>
      </c>
      <c r="BU23" s="7">
        <v>11182.78</v>
      </c>
      <c r="BV23" s="7">
        <v>10723.51</v>
      </c>
      <c r="BW23" s="7">
        <v>12959.19</v>
      </c>
      <c r="BX23" s="7">
        <v>14093.25</v>
      </c>
      <c r="BY23" s="7">
        <v>17906.940000000002</v>
      </c>
      <c r="BZ23" s="7">
        <v>16163.02</v>
      </c>
      <c r="CA23" s="7">
        <v>20509.87</v>
      </c>
      <c r="CB23" s="7">
        <f t="shared" si="11"/>
        <v>165500.00999999998</v>
      </c>
      <c r="CC23" s="5"/>
      <c r="CD23" s="5"/>
    </row>
    <row r="24" spans="1:82" x14ac:dyDescent="0.25">
      <c r="A24" s="4"/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5"/>
      <c r="CD24" s="5"/>
    </row>
    <row r="25" spans="1:82" x14ac:dyDescent="0.25">
      <c r="A25" s="3" t="s">
        <v>30</v>
      </c>
      <c r="B25" s="8" t="s">
        <v>30</v>
      </c>
      <c r="C25" s="5">
        <v>109.05</v>
      </c>
      <c r="D25" s="5">
        <v>213.75</v>
      </c>
      <c r="E25" s="5">
        <v>1667.88</v>
      </c>
      <c r="F25" s="5">
        <v>224.65</v>
      </c>
      <c r="G25" s="5">
        <v>96.51</v>
      </c>
      <c r="H25" s="5">
        <v>659.65</v>
      </c>
      <c r="I25" s="5">
        <v>73.239999999999995</v>
      </c>
      <c r="J25" s="5">
        <v>1017.44</v>
      </c>
      <c r="K25" s="5">
        <v>891.95</v>
      </c>
      <c r="L25" s="5">
        <v>589.16999999999996</v>
      </c>
      <c r="M25" s="5">
        <v>342.53000000000003</v>
      </c>
      <c r="N25" s="5">
        <v>0</v>
      </c>
      <c r="O25" s="5">
        <f t="shared" ref="O25:O30" si="12">SUM(C25:N25)</f>
        <v>5885.82</v>
      </c>
      <c r="P25" s="5">
        <v>271.99</v>
      </c>
      <c r="Q25" s="5">
        <v>60.519999999999996</v>
      </c>
      <c r="R25" s="5">
        <v>4373.74</v>
      </c>
      <c r="S25" s="5">
        <v>3218.41</v>
      </c>
      <c r="T25" s="5">
        <v>673</v>
      </c>
      <c r="U25" s="5">
        <v>536.43999999999994</v>
      </c>
      <c r="V25" s="5">
        <v>676.29</v>
      </c>
      <c r="W25" s="5">
        <v>1706.71</v>
      </c>
      <c r="X25" s="5">
        <v>378.87</v>
      </c>
      <c r="Y25" s="5">
        <v>1577.9</v>
      </c>
      <c r="Z25" s="5">
        <v>687.95</v>
      </c>
      <c r="AA25" s="5">
        <v>146.55000000000001</v>
      </c>
      <c r="AB25" s="5">
        <f t="shared" ref="AB25:AB30" si="13">SUM(P25:AA25)</f>
        <v>14308.369999999999</v>
      </c>
      <c r="AC25" s="5">
        <v>7.87</v>
      </c>
      <c r="AD25" s="5">
        <v>581.99</v>
      </c>
      <c r="AE25" s="5">
        <v>254.35000000000002</v>
      </c>
      <c r="AF25" s="5">
        <v>0</v>
      </c>
      <c r="AG25" s="5">
        <v>177.03</v>
      </c>
      <c r="AH25" s="5">
        <v>1516.09</v>
      </c>
      <c r="AI25" s="5">
        <v>3993.5</v>
      </c>
      <c r="AJ25" s="5">
        <v>1776.3</v>
      </c>
      <c r="AK25" s="5">
        <v>4139.87</v>
      </c>
      <c r="AL25" s="5">
        <v>-6497.0300000000007</v>
      </c>
      <c r="AM25" s="5">
        <v>41.18</v>
      </c>
      <c r="AN25" s="5">
        <v>270.35000000000002</v>
      </c>
      <c r="AO25" s="5">
        <f t="shared" ref="AO25:AO30" si="14">SUM(AC25:AN25)</f>
        <v>6261.5</v>
      </c>
      <c r="AP25" s="5">
        <v>199.89</v>
      </c>
      <c r="AQ25" s="5">
        <v>234.39000000000001</v>
      </c>
      <c r="AR25" s="5">
        <v>1345.24</v>
      </c>
      <c r="AS25" s="5">
        <v>28.98</v>
      </c>
      <c r="AT25" s="5">
        <v>583.80000000000007</v>
      </c>
      <c r="AU25" s="5">
        <v>363.27</v>
      </c>
      <c r="AV25" s="5">
        <v>148.67000000000002</v>
      </c>
      <c r="AW25" s="5">
        <v>185.45000000000002</v>
      </c>
      <c r="AX25" s="5">
        <v>110.54</v>
      </c>
      <c r="AY25" s="5">
        <v>703.35</v>
      </c>
      <c r="AZ25" s="5">
        <v>16.09</v>
      </c>
      <c r="BA25" s="5">
        <v>367.37</v>
      </c>
      <c r="BB25" s="5">
        <f t="shared" ref="BB25:BB30" si="15">SUM(AP25:BA25)</f>
        <v>4287.04</v>
      </c>
      <c r="BC25" s="5">
        <v>3502.05</v>
      </c>
      <c r="BD25" s="5">
        <v>264.5</v>
      </c>
      <c r="BE25" s="5">
        <v>2551.2500000000005</v>
      </c>
      <c r="BF25" s="5">
        <v>2894.64</v>
      </c>
      <c r="BG25" s="5">
        <v>101.67</v>
      </c>
      <c r="BH25" s="5">
        <v>905.6</v>
      </c>
      <c r="BI25" s="5">
        <v>262.08</v>
      </c>
      <c r="BJ25" s="5">
        <v>153.62</v>
      </c>
      <c r="BK25" s="5">
        <v>572.59</v>
      </c>
      <c r="BL25" s="5">
        <v>261.5</v>
      </c>
      <c r="BM25" s="5">
        <v>9670.6</v>
      </c>
      <c r="BN25" s="5">
        <v>3605.25</v>
      </c>
      <c r="BO25" s="5">
        <f t="shared" ref="BO25:BO30" si="16">SUM(BC25:BN25)</f>
        <v>24745.350000000002</v>
      </c>
      <c r="BP25" s="5">
        <v>164.78</v>
      </c>
      <c r="BQ25" s="5">
        <v>83.37</v>
      </c>
      <c r="BR25" s="5">
        <v>100.10000000000001</v>
      </c>
      <c r="BS25" s="5">
        <v>243.41</v>
      </c>
      <c r="BT25" s="5">
        <v>31.41</v>
      </c>
      <c r="BU25" s="5">
        <v>80.3</v>
      </c>
      <c r="BV25" s="5">
        <v>273.55</v>
      </c>
      <c r="BW25" s="5">
        <v>71.320000000000007</v>
      </c>
      <c r="BX25" s="5">
        <v>523.06999999999994</v>
      </c>
      <c r="BY25" s="5">
        <v>952.92000000000007</v>
      </c>
      <c r="BZ25" s="5">
        <v>131.97</v>
      </c>
      <c r="CA25" s="5">
        <v>336.53</v>
      </c>
      <c r="CB25" s="5">
        <f t="shared" ref="CB25:CB30" si="17">SUM(BP25:CA25)</f>
        <v>2992.7299999999996</v>
      </c>
      <c r="CC25" s="5"/>
      <c r="CD25" s="5"/>
    </row>
    <row r="26" spans="1:82" x14ac:dyDescent="0.25">
      <c r="A26" s="3" t="s">
        <v>31</v>
      </c>
      <c r="B26" s="8" t="s">
        <v>46</v>
      </c>
      <c r="C26" s="5">
        <v>8.5500000000000007</v>
      </c>
      <c r="D26" s="5">
        <v>0</v>
      </c>
      <c r="E26" s="5">
        <v>23.2</v>
      </c>
      <c r="F26" s="5">
        <v>29.98</v>
      </c>
      <c r="G26" s="5">
        <v>162.72999999999999</v>
      </c>
      <c r="H26" s="5">
        <v>29.95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81.820000000000007</v>
      </c>
      <c r="O26" s="5">
        <f t="shared" si="12"/>
        <v>336.22999999999996</v>
      </c>
      <c r="P26" s="5">
        <v>193.45000000000002</v>
      </c>
      <c r="Q26" s="5">
        <v>0</v>
      </c>
      <c r="R26" s="5">
        <v>253.64000000000001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99.14</v>
      </c>
      <c r="Y26" s="5">
        <v>0</v>
      </c>
      <c r="Z26" s="5">
        <v>0</v>
      </c>
      <c r="AA26" s="5">
        <v>0</v>
      </c>
      <c r="AB26" s="5">
        <f t="shared" si="13"/>
        <v>546.23</v>
      </c>
      <c r="AC26" s="5">
        <v>0</v>
      </c>
      <c r="AD26" s="5">
        <v>0</v>
      </c>
      <c r="AE26" s="5">
        <v>0</v>
      </c>
      <c r="AF26" s="5">
        <v>0</v>
      </c>
      <c r="AG26" s="5">
        <v>72.710000000000008</v>
      </c>
      <c r="AH26" s="5">
        <v>63.4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f t="shared" si="14"/>
        <v>136.11000000000001</v>
      </c>
      <c r="AP26" s="5">
        <v>0</v>
      </c>
      <c r="AQ26" s="5">
        <v>0</v>
      </c>
      <c r="AR26" s="5">
        <v>0</v>
      </c>
      <c r="AS26" s="5">
        <v>2217.27</v>
      </c>
      <c r="AT26" s="5">
        <v>803.95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5">
        <v>0</v>
      </c>
      <c r="BA26" s="5">
        <v>551.20000000000005</v>
      </c>
      <c r="BB26" s="5">
        <f t="shared" si="15"/>
        <v>3572.42</v>
      </c>
      <c r="BC26" s="5">
        <v>420.15000000000003</v>
      </c>
      <c r="BD26" s="5">
        <v>0</v>
      </c>
      <c r="BE26" s="5">
        <v>240</v>
      </c>
      <c r="BF26" s="5">
        <v>0</v>
      </c>
      <c r="BG26" s="5">
        <v>0</v>
      </c>
      <c r="BH26" s="5">
        <v>742.11</v>
      </c>
      <c r="BI26" s="5">
        <v>0</v>
      </c>
      <c r="BJ26" s="5">
        <v>490.48</v>
      </c>
      <c r="BK26" s="5">
        <v>186.24</v>
      </c>
      <c r="BL26" s="5">
        <v>186.24</v>
      </c>
      <c r="BM26" s="5">
        <v>186.24</v>
      </c>
      <c r="BN26" s="5">
        <v>502.15000000000003</v>
      </c>
      <c r="BO26" s="5">
        <f t="shared" si="16"/>
        <v>2953.61</v>
      </c>
      <c r="BP26" s="5">
        <v>208.02</v>
      </c>
      <c r="BQ26" s="5">
        <v>186.24</v>
      </c>
      <c r="BR26" s="5">
        <v>186.24</v>
      </c>
      <c r="BS26" s="5">
        <v>186.24</v>
      </c>
      <c r="BT26" s="5">
        <v>0</v>
      </c>
      <c r="BU26" s="5">
        <v>372.48</v>
      </c>
      <c r="BV26" s="5">
        <v>186.24</v>
      </c>
      <c r="BW26" s="5">
        <v>186.24</v>
      </c>
      <c r="BX26" s="5">
        <v>186.24</v>
      </c>
      <c r="BY26" s="5">
        <v>186.24</v>
      </c>
      <c r="BZ26" s="5">
        <v>186.24</v>
      </c>
      <c r="CA26" s="5">
        <v>186.24</v>
      </c>
      <c r="CB26" s="5">
        <f t="shared" si="17"/>
        <v>2256.66</v>
      </c>
      <c r="CC26" s="5"/>
      <c r="CD26" s="5"/>
    </row>
    <row r="27" spans="1:82" x14ac:dyDescent="0.25">
      <c r="A27" s="3" t="s">
        <v>32</v>
      </c>
      <c r="B27" s="8" t="s">
        <v>47</v>
      </c>
      <c r="C27" s="5">
        <v>21601.4</v>
      </c>
      <c r="D27" s="5">
        <v>-5554.76</v>
      </c>
      <c r="E27" s="5">
        <v>7935.93</v>
      </c>
      <c r="F27" s="5">
        <v>16000.98</v>
      </c>
      <c r="G27" s="5">
        <v>7666.37</v>
      </c>
      <c r="H27" s="5">
        <v>6927.39</v>
      </c>
      <c r="I27" s="5">
        <v>16781.169999999998</v>
      </c>
      <c r="J27" s="5">
        <v>15902.630000000001</v>
      </c>
      <c r="K27" s="5">
        <v>6844.62</v>
      </c>
      <c r="L27" s="5">
        <v>9440.5299999999988</v>
      </c>
      <c r="M27" s="5">
        <v>6101.5</v>
      </c>
      <c r="N27" s="5">
        <v>18437.740000000002</v>
      </c>
      <c r="O27" s="5">
        <f t="shared" si="12"/>
        <v>128085.50000000001</v>
      </c>
      <c r="P27" s="5">
        <v>713.41</v>
      </c>
      <c r="Q27" s="5">
        <v>15723.42</v>
      </c>
      <c r="R27" s="5">
        <v>-8161.9000000000005</v>
      </c>
      <c r="S27" s="5">
        <v>6359.33</v>
      </c>
      <c r="T27" s="5">
        <v>15528.59</v>
      </c>
      <c r="U27" s="5">
        <v>9923.17</v>
      </c>
      <c r="V27" s="5">
        <v>7848.68</v>
      </c>
      <c r="W27" s="5">
        <v>8401.23</v>
      </c>
      <c r="X27" s="5">
        <v>11330.01</v>
      </c>
      <c r="Y27" s="5">
        <v>6316.26</v>
      </c>
      <c r="Z27" s="5">
        <v>8223.23</v>
      </c>
      <c r="AA27" s="5">
        <v>9640.11</v>
      </c>
      <c r="AB27" s="5">
        <f t="shared" si="13"/>
        <v>91845.539999999979</v>
      </c>
      <c r="AC27" s="5">
        <v>13110.84</v>
      </c>
      <c r="AD27" s="5">
        <v>9259.89</v>
      </c>
      <c r="AE27" s="5">
        <v>8961.76</v>
      </c>
      <c r="AF27" s="5">
        <v>17093.73</v>
      </c>
      <c r="AG27" s="5">
        <v>7464.4000000000005</v>
      </c>
      <c r="AH27" s="5">
        <v>22010.55</v>
      </c>
      <c r="AI27" s="5">
        <v>8960.07</v>
      </c>
      <c r="AJ27" s="5">
        <v>15882.57</v>
      </c>
      <c r="AK27" s="5">
        <v>15412.2</v>
      </c>
      <c r="AL27" s="5">
        <v>11516.25</v>
      </c>
      <c r="AM27" s="5">
        <v>4676</v>
      </c>
      <c r="AN27" s="5">
        <v>5898.1</v>
      </c>
      <c r="AO27" s="5">
        <f t="shared" si="14"/>
        <v>140246.36000000002</v>
      </c>
      <c r="AP27" s="5">
        <v>-3588.6099999999997</v>
      </c>
      <c r="AQ27" s="5">
        <v>9348.0499999999993</v>
      </c>
      <c r="AR27" s="5">
        <v>11500.210000000001</v>
      </c>
      <c r="AS27" s="5">
        <v>-1967.8300000000002</v>
      </c>
      <c r="AT27" s="5">
        <v>3561.38</v>
      </c>
      <c r="AU27" s="5">
        <v>1884.7600000000002</v>
      </c>
      <c r="AV27" s="5">
        <v>-14428.4</v>
      </c>
      <c r="AW27" s="5">
        <v>3500</v>
      </c>
      <c r="AX27" s="5">
        <v>3500</v>
      </c>
      <c r="AY27" s="5">
        <v>3500</v>
      </c>
      <c r="AZ27" s="5">
        <v>-1000</v>
      </c>
      <c r="BA27" s="5">
        <v>-2500</v>
      </c>
      <c r="BB27" s="5">
        <f t="shared" si="15"/>
        <v>13309.559999999998</v>
      </c>
      <c r="BC27" s="5">
        <v>3500</v>
      </c>
      <c r="BD27" s="5">
        <v>1500</v>
      </c>
      <c r="BE27" s="5">
        <v>3500</v>
      </c>
      <c r="BF27" s="5">
        <v>3500</v>
      </c>
      <c r="BG27" s="5">
        <v>-19000</v>
      </c>
      <c r="BH27" s="5">
        <v>0</v>
      </c>
      <c r="BI27" s="5">
        <v>0</v>
      </c>
      <c r="BJ27" s="5">
        <v>0</v>
      </c>
      <c r="BK27" s="5">
        <v>0</v>
      </c>
      <c r="BL27" s="5">
        <v>0</v>
      </c>
      <c r="BM27" s="5">
        <v>0</v>
      </c>
      <c r="BN27" s="5">
        <v>0</v>
      </c>
      <c r="BO27" s="5">
        <f t="shared" si="16"/>
        <v>-7000</v>
      </c>
      <c r="BP27" s="5">
        <v>0</v>
      </c>
      <c r="BQ27" s="5">
        <v>0</v>
      </c>
      <c r="BR27" s="5">
        <v>0</v>
      </c>
      <c r="BS27" s="5">
        <v>0</v>
      </c>
      <c r="BT27" s="5">
        <v>0</v>
      </c>
      <c r="BU27" s="5">
        <v>0</v>
      </c>
      <c r="BV27" s="5">
        <v>0</v>
      </c>
      <c r="BW27" s="5">
        <v>0</v>
      </c>
      <c r="BX27" s="5">
        <v>0</v>
      </c>
      <c r="BY27" s="5">
        <v>0</v>
      </c>
      <c r="BZ27" s="5">
        <v>0</v>
      </c>
      <c r="CA27" s="5">
        <v>0</v>
      </c>
      <c r="CB27" s="5">
        <f t="shared" si="17"/>
        <v>0</v>
      </c>
      <c r="CC27" s="5"/>
      <c r="CD27" s="5"/>
    </row>
    <row r="28" spans="1:82" x14ac:dyDescent="0.25">
      <c r="A28" s="3" t="s">
        <v>33</v>
      </c>
      <c r="B28" s="8" t="s">
        <v>48</v>
      </c>
      <c r="C28" s="5">
        <v>694.35</v>
      </c>
      <c r="D28" s="5">
        <v>694.35</v>
      </c>
      <c r="E28" s="5">
        <v>694.35</v>
      </c>
      <c r="F28" s="5">
        <v>694.35</v>
      </c>
      <c r="G28" s="5">
        <v>694.35</v>
      </c>
      <c r="H28" s="5">
        <v>694.35</v>
      </c>
      <c r="I28" s="5">
        <v>694.35</v>
      </c>
      <c r="J28" s="5">
        <v>694.35</v>
      </c>
      <c r="K28" s="5">
        <v>694.35</v>
      </c>
      <c r="L28" s="5">
        <v>694.35</v>
      </c>
      <c r="M28" s="5">
        <v>693.30000000000007</v>
      </c>
      <c r="N28" s="5">
        <v>563.76</v>
      </c>
      <c r="O28" s="5">
        <f t="shared" si="12"/>
        <v>8200.5600000000013</v>
      </c>
      <c r="P28" s="5">
        <v>563.76</v>
      </c>
      <c r="Q28" s="5">
        <v>563.76</v>
      </c>
      <c r="R28" s="5">
        <v>563.76</v>
      </c>
      <c r="S28" s="5">
        <v>563.76</v>
      </c>
      <c r="T28" s="5">
        <v>563.76</v>
      </c>
      <c r="U28" s="5">
        <v>563.76</v>
      </c>
      <c r="V28" s="5">
        <v>566.88</v>
      </c>
      <c r="W28" s="5">
        <v>566.88</v>
      </c>
      <c r="X28" s="5">
        <v>0</v>
      </c>
      <c r="Y28" s="5">
        <v>1397.09</v>
      </c>
      <c r="Z28" s="5">
        <v>867.77</v>
      </c>
      <c r="AA28" s="5">
        <v>849</v>
      </c>
      <c r="AB28" s="5">
        <f t="shared" si="13"/>
        <v>7630.18</v>
      </c>
      <c r="AC28" s="5">
        <v>849</v>
      </c>
      <c r="AD28" s="5">
        <v>849</v>
      </c>
      <c r="AE28" s="5">
        <v>849</v>
      </c>
      <c r="AF28" s="5">
        <v>849</v>
      </c>
      <c r="AG28" s="5">
        <v>849</v>
      </c>
      <c r="AH28" s="5">
        <v>849</v>
      </c>
      <c r="AI28" s="5">
        <v>849</v>
      </c>
      <c r="AJ28" s="5">
        <v>849</v>
      </c>
      <c r="AK28" s="5">
        <v>849</v>
      </c>
      <c r="AL28" s="5">
        <v>995.2</v>
      </c>
      <c r="AM28" s="5">
        <v>995.2</v>
      </c>
      <c r="AN28" s="5">
        <v>995.2</v>
      </c>
      <c r="AO28" s="5">
        <f t="shared" si="14"/>
        <v>10626.600000000002</v>
      </c>
      <c r="AP28" s="5">
        <v>995.2</v>
      </c>
      <c r="AQ28" s="5">
        <v>995.2</v>
      </c>
      <c r="AR28" s="5">
        <v>995.2</v>
      </c>
      <c r="AS28" s="5">
        <v>995.2</v>
      </c>
      <c r="AT28" s="5">
        <v>995.2</v>
      </c>
      <c r="AU28" s="5">
        <v>995.2</v>
      </c>
      <c r="AV28" s="5">
        <v>995.2</v>
      </c>
      <c r="AW28" s="5">
        <v>995.2</v>
      </c>
      <c r="AX28" s="5">
        <v>995.2</v>
      </c>
      <c r="AY28" s="5">
        <v>770.58</v>
      </c>
      <c r="AZ28" s="5">
        <v>770.58</v>
      </c>
      <c r="BA28" s="5">
        <v>770.58</v>
      </c>
      <c r="BB28" s="5">
        <f t="shared" si="15"/>
        <v>11268.539999999999</v>
      </c>
      <c r="BC28" s="5">
        <v>897.67000000000007</v>
      </c>
      <c r="BD28" s="5">
        <v>770.58</v>
      </c>
      <c r="BE28" s="5">
        <v>770.58</v>
      </c>
      <c r="BF28" s="5">
        <v>770.58</v>
      </c>
      <c r="BG28" s="5">
        <v>770.58</v>
      </c>
      <c r="BH28" s="5">
        <v>770.58</v>
      </c>
      <c r="BI28" s="5">
        <v>770.58</v>
      </c>
      <c r="BJ28" s="5">
        <v>770.58</v>
      </c>
      <c r="BK28" s="5">
        <v>770.58</v>
      </c>
      <c r="BL28" s="5">
        <v>0</v>
      </c>
      <c r="BM28" s="5">
        <v>827.22</v>
      </c>
      <c r="BN28" s="5">
        <v>413.61</v>
      </c>
      <c r="BO28" s="5">
        <f t="shared" si="16"/>
        <v>8303.14</v>
      </c>
      <c r="BP28" s="5">
        <v>413.54</v>
      </c>
      <c r="BQ28" s="5">
        <v>413.54</v>
      </c>
      <c r="BR28" s="5">
        <v>413.54</v>
      </c>
      <c r="BS28" s="5">
        <v>413.54</v>
      </c>
      <c r="BT28" s="5">
        <v>413.54</v>
      </c>
      <c r="BU28" s="5">
        <v>413.54</v>
      </c>
      <c r="BV28" s="5">
        <v>413.54</v>
      </c>
      <c r="BW28" s="5">
        <v>413.54</v>
      </c>
      <c r="BX28" s="5">
        <v>413.54</v>
      </c>
      <c r="BY28" s="5">
        <v>354.02</v>
      </c>
      <c r="BZ28" s="5">
        <v>354.02</v>
      </c>
      <c r="CA28" s="5">
        <v>354.02</v>
      </c>
      <c r="CB28" s="5">
        <f t="shared" si="17"/>
        <v>4783.92</v>
      </c>
      <c r="CC28" s="5"/>
      <c r="CD28" s="5"/>
    </row>
    <row r="29" spans="1:82" x14ac:dyDescent="0.25">
      <c r="A29" s="3" t="s">
        <v>34</v>
      </c>
      <c r="B29" s="8" t="s">
        <v>49</v>
      </c>
      <c r="C29" s="5">
        <v>20797.769999999997</v>
      </c>
      <c r="D29" s="5">
        <v>-8752.4699999999993</v>
      </c>
      <c r="E29" s="5">
        <v>24807.480000000003</v>
      </c>
      <c r="F29" s="5">
        <v>23102.97</v>
      </c>
      <c r="G29" s="5">
        <v>18536.769999999997</v>
      </c>
      <c r="H29" s="5">
        <v>18601.3</v>
      </c>
      <c r="I29" s="5">
        <v>18993.440000000002</v>
      </c>
      <c r="J29" s="5">
        <v>21892.42</v>
      </c>
      <c r="K29" s="5">
        <v>24901.42</v>
      </c>
      <c r="L29" s="5">
        <v>23469.8</v>
      </c>
      <c r="M29" s="5">
        <v>27324.280000000002</v>
      </c>
      <c r="N29" s="5">
        <v>22104.54</v>
      </c>
      <c r="O29" s="5">
        <f t="shared" si="12"/>
        <v>235779.71999999997</v>
      </c>
      <c r="P29" s="5">
        <v>26550.73</v>
      </c>
      <c r="Q29" s="5">
        <v>30180.350000000002</v>
      </c>
      <c r="R29" s="5">
        <v>34838.550000000003</v>
      </c>
      <c r="S29" s="5">
        <v>37752.71</v>
      </c>
      <c r="T29" s="5">
        <v>23440.469999999998</v>
      </c>
      <c r="U29" s="5">
        <v>25340.05</v>
      </c>
      <c r="V29" s="5">
        <v>32256.75</v>
      </c>
      <c r="W29" s="5">
        <v>24890.399999999998</v>
      </c>
      <c r="X29" s="5">
        <v>25038.350000000002</v>
      </c>
      <c r="Y29" s="5">
        <v>26880.670000000002</v>
      </c>
      <c r="Z29" s="5">
        <v>22108.799999999999</v>
      </c>
      <c r="AA29" s="5">
        <v>28935.280000000006</v>
      </c>
      <c r="AB29" s="5">
        <f t="shared" si="13"/>
        <v>338213.11</v>
      </c>
      <c r="AC29" s="5">
        <v>20086.960000000003</v>
      </c>
      <c r="AD29" s="5">
        <v>26168.120000000003</v>
      </c>
      <c r="AE29" s="5">
        <v>28629.91</v>
      </c>
      <c r="AF29" s="5">
        <v>49679.340000000004</v>
      </c>
      <c r="AG29" s="5">
        <v>21049.400000000005</v>
      </c>
      <c r="AH29" s="5">
        <v>32269.790000000005</v>
      </c>
      <c r="AI29" s="5">
        <v>44117.299999999996</v>
      </c>
      <c r="AJ29" s="5">
        <v>29993.140000000003</v>
      </c>
      <c r="AK29" s="5">
        <v>38008.730000000003</v>
      </c>
      <c r="AL29" s="5">
        <v>34305.33</v>
      </c>
      <c r="AM29" s="5">
        <v>35565.129999999997</v>
      </c>
      <c r="AN29" s="5">
        <v>43508.310000000005</v>
      </c>
      <c r="AO29" s="5">
        <f t="shared" si="14"/>
        <v>403381.46</v>
      </c>
      <c r="AP29" s="5">
        <v>32147.01</v>
      </c>
      <c r="AQ29" s="5">
        <v>28748.340000000004</v>
      </c>
      <c r="AR29" s="5">
        <v>43562.16</v>
      </c>
      <c r="AS29" s="5">
        <v>31976.210000000003</v>
      </c>
      <c r="AT29" s="5">
        <v>49803.8</v>
      </c>
      <c r="AU29" s="5">
        <v>43369.979999999996</v>
      </c>
      <c r="AV29" s="5">
        <v>28356.840000000004</v>
      </c>
      <c r="AW29" s="5">
        <v>28361.690000000002</v>
      </c>
      <c r="AX29" s="5">
        <v>28971.8</v>
      </c>
      <c r="AY29" s="5">
        <v>34444.979999999996</v>
      </c>
      <c r="AZ29" s="5">
        <v>35781.189999999995</v>
      </c>
      <c r="BA29" s="5">
        <v>41402.039999999994</v>
      </c>
      <c r="BB29" s="5">
        <f t="shared" si="15"/>
        <v>426926.04</v>
      </c>
      <c r="BC29" s="5">
        <v>29899.399999999998</v>
      </c>
      <c r="BD29" s="5">
        <v>837.29000000000008</v>
      </c>
      <c r="BE29" s="5">
        <v>57792.520000000004</v>
      </c>
      <c r="BF29" s="5">
        <v>40501.49</v>
      </c>
      <c r="BG29" s="5">
        <v>27484.37</v>
      </c>
      <c r="BH29" s="5">
        <v>19325.650000000001</v>
      </c>
      <c r="BI29" s="5">
        <v>29251.979999999996</v>
      </c>
      <c r="BJ29" s="5">
        <v>32503.32</v>
      </c>
      <c r="BK29" s="5">
        <v>26978.23</v>
      </c>
      <c r="BL29" s="5">
        <v>31081.620000000003</v>
      </c>
      <c r="BM29" s="5">
        <v>28406.429999999997</v>
      </c>
      <c r="BN29" s="5">
        <v>28269.49</v>
      </c>
      <c r="BO29" s="5">
        <f t="shared" si="16"/>
        <v>352331.79</v>
      </c>
      <c r="BP29" s="5">
        <v>24611.14</v>
      </c>
      <c r="BQ29" s="5">
        <v>27807.350000000002</v>
      </c>
      <c r="BR29" s="5">
        <v>29695.300000000003</v>
      </c>
      <c r="BS29" s="5">
        <v>42083.56</v>
      </c>
      <c r="BT29" s="5">
        <v>19614.690000000002</v>
      </c>
      <c r="BU29" s="5">
        <v>30289.439999999999</v>
      </c>
      <c r="BV29" s="5">
        <v>24521.08</v>
      </c>
      <c r="BW29" s="5">
        <v>29318.720000000001</v>
      </c>
      <c r="BX29" s="5">
        <v>29635.930000000004</v>
      </c>
      <c r="BY29" s="5">
        <v>46394.16</v>
      </c>
      <c r="BZ29" s="5">
        <v>41694.86</v>
      </c>
      <c r="CA29" s="5">
        <v>43705.430000000008</v>
      </c>
      <c r="CB29" s="5">
        <f t="shared" si="17"/>
        <v>389371.66</v>
      </c>
      <c r="CC29" s="5"/>
      <c r="CD29" s="5"/>
    </row>
    <row r="30" spans="1:82" x14ac:dyDescent="0.25">
      <c r="A30" s="4" t="s">
        <v>35</v>
      </c>
      <c r="B30" s="4" t="s">
        <v>50</v>
      </c>
      <c r="C30" s="5">
        <v>43211.12</v>
      </c>
      <c r="D30" s="5">
        <v>-13399.13</v>
      </c>
      <c r="E30" s="5">
        <v>35128.840000000004</v>
      </c>
      <c r="F30" s="5">
        <v>40052.93</v>
      </c>
      <c r="G30" s="5">
        <v>27156.729999999996</v>
      </c>
      <c r="H30" s="5">
        <v>26912.639999999999</v>
      </c>
      <c r="I30" s="5">
        <v>36542.199999999997</v>
      </c>
      <c r="J30" s="5">
        <v>39506.839999999997</v>
      </c>
      <c r="K30" s="5">
        <v>33332.340000000004</v>
      </c>
      <c r="L30" s="5">
        <v>34193.850000000006</v>
      </c>
      <c r="M30" s="5">
        <v>34461.61</v>
      </c>
      <c r="N30" s="5">
        <v>41187.86</v>
      </c>
      <c r="O30" s="5">
        <f t="shared" si="12"/>
        <v>378287.82999999996</v>
      </c>
      <c r="P30" s="7">
        <v>28293.340000000004</v>
      </c>
      <c r="Q30" s="7">
        <v>46528.05</v>
      </c>
      <c r="R30" s="7">
        <v>31867.79</v>
      </c>
      <c r="S30" s="7">
        <v>47894.21</v>
      </c>
      <c r="T30" s="7">
        <v>40205.82</v>
      </c>
      <c r="U30" s="7">
        <v>36363.420000000006</v>
      </c>
      <c r="V30" s="7">
        <v>41348.6</v>
      </c>
      <c r="W30" s="7">
        <v>35565.219999999994</v>
      </c>
      <c r="X30" s="7">
        <v>36846.370000000003</v>
      </c>
      <c r="Y30" s="7">
        <v>36171.919999999998</v>
      </c>
      <c r="Z30" s="7">
        <v>31887.750000000004</v>
      </c>
      <c r="AA30" s="7">
        <v>39570.94000000001</v>
      </c>
      <c r="AB30" s="7">
        <f t="shared" si="13"/>
        <v>452543.43</v>
      </c>
      <c r="AC30" s="7">
        <v>34054.670000000006</v>
      </c>
      <c r="AD30" s="7">
        <v>36859</v>
      </c>
      <c r="AE30" s="7">
        <v>38695.019999999997</v>
      </c>
      <c r="AF30" s="7">
        <v>67622.070000000007</v>
      </c>
      <c r="AG30" s="7">
        <v>29612.540000000005</v>
      </c>
      <c r="AH30" s="7">
        <v>56708.83</v>
      </c>
      <c r="AI30" s="7">
        <v>57919.869999999995</v>
      </c>
      <c r="AJ30" s="7">
        <v>48501.009999999995</v>
      </c>
      <c r="AK30" s="7">
        <v>58409.799999999996</v>
      </c>
      <c r="AL30" s="7">
        <v>40319.75</v>
      </c>
      <c r="AM30" s="7">
        <v>41277.51</v>
      </c>
      <c r="AN30" s="7">
        <v>50671.960000000006</v>
      </c>
      <c r="AO30" s="7">
        <f t="shared" si="14"/>
        <v>560652.03</v>
      </c>
      <c r="AP30" s="7">
        <v>29753.49</v>
      </c>
      <c r="AQ30" s="7">
        <v>39325.980000000003</v>
      </c>
      <c r="AR30" s="7">
        <v>57402.81</v>
      </c>
      <c r="AS30" s="7">
        <v>33249.83</v>
      </c>
      <c r="AT30" s="7">
        <v>55748.130000000005</v>
      </c>
      <c r="AU30" s="7">
        <v>46613.209999999992</v>
      </c>
      <c r="AV30" s="7">
        <v>15072.310000000003</v>
      </c>
      <c r="AW30" s="7">
        <v>33042.339999999997</v>
      </c>
      <c r="AX30" s="7">
        <v>33577.540000000008</v>
      </c>
      <c r="AY30" s="7">
        <v>39418.909999999996</v>
      </c>
      <c r="AZ30" s="7">
        <v>35567.859999999993</v>
      </c>
      <c r="BA30" s="7">
        <v>40591.19</v>
      </c>
      <c r="BB30" s="7">
        <f t="shared" si="15"/>
        <v>459363.6</v>
      </c>
      <c r="BC30" s="7">
        <v>38219.270000000004</v>
      </c>
      <c r="BD30" s="7">
        <v>3372.37</v>
      </c>
      <c r="BE30" s="7">
        <v>64854.350000000006</v>
      </c>
      <c r="BF30" s="7">
        <v>47666.71</v>
      </c>
      <c r="BG30" s="7">
        <v>9356.619999999999</v>
      </c>
      <c r="BH30" s="7">
        <v>21743.940000000002</v>
      </c>
      <c r="BI30" s="7">
        <v>30284.639999999996</v>
      </c>
      <c r="BJ30" s="7">
        <v>33918</v>
      </c>
      <c r="BK30" s="7">
        <v>28507.64</v>
      </c>
      <c r="BL30" s="7">
        <v>31529.360000000001</v>
      </c>
      <c r="BM30" s="7">
        <v>39090.49</v>
      </c>
      <c r="BN30" s="7">
        <v>32790.5</v>
      </c>
      <c r="BO30" s="7">
        <f t="shared" si="16"/>
        <v>381333.88999999996</v>
      </c>
      <c r="BP30" s="7">
        <v>25397.48</v>
      </c>
      <c r="BQ30" s="7">
        <v>28490.500000000004</v>
      </c>
      <c r="BR30" s="7">
        <v>30395.18</v>
      </c>
      <c r="BS30" s="7">
        <v>42926.75</v>
      </c>
      <c r="BT30" s="7">
        <v>20059.64</v>
      </c>
      <c r="BU30" s="7">
        <v>31155.759999999998</v>
      </c>
      <c r="BV30" s="7">
        <v>25394.41</v>
      </c>
      <c r="BW30" s="7">
        <v>29989.82</v>
      </c>
      <c r="BX30" s="7">
        <v>30758.780000000002</v>
      </c>
      <c r="BY30" s="7">
        <v>47887.34</v>
      </c>
      <c r="BZ30" s="7">
        <v>42367.09</v>
      </c>
      <c r="CA30" s="7">
        <v>44582.22</v>
      </c>
      <c r="CB30" s="7">
        <f t="shared" si="17"/>
        <v>399404.97</v>
      </c>
      <c r="CC30" s="5"/>
      <c r="CD30" s="5"/>
    </row>
    <row r="32" spans="1:82" ht="15.75" thickBot="1" x14ac:dyDescent="0.3">
      <c r="B32" s="1" t="s">
        <v>51</v>
      </c>
      <c r="O32" s="9">
        <f>SUM(O14,O16,O23,O30)</f>
        <v>3020014.62</v>
      </c>
      <c r="AB32" s="9">
        <f>SUM(AB14,AB16,AB23,AB30)</f>
        <v>3293918.9200000004</v>
      </c>
      <c r="AO32" s="9">
        <f>SUM(AO14,AO16,AO23,AO30)</f>
        <v>3842337.2</v>
      </c>
      <c r="BB32" s="9">
        <f>SUM(BB14,BB16,BB23,BB30)</f>
        <v>4280263.4300000006</v>
      </c>
      <c r="BO32" s="9">
        <f>SUM(BO14,BO16,BO23,BO30)</f>
        <v>3755771.5399999996</v>
      </c>
      <c r="CB32" s="9">
        <f>SUM(CB14,CB16,CB23,CB30)</f>
        <v>3464105.8600000003</v>
      </c>
    </row>
    <row r="33" spans="2:89" ht="15.75" thickTop="1" x14ac:dyDescent="0.25"/>
    <row r="34" spans="2:89" x14ac:dyDescent="0.25">
      <c r="B34" s="1" t="s">
        <v>65</v>
      </c>
      <c r="O34" s="12">
        <v>162435</v>
      </c>
      <c r="P34">
        <v>172040</v>
      </c>
      <c r="Q34">
        <v>172040</v>
      </c>
      <c r="R34">
        <v>172040</v>
      </c>
      <c r="S34">
        <v>172040</v>
      </c>
      <c r="T34">
        <v>172040</v>
      </c>
      <c r="U34">
        <v>172040</v>
      </c>
      <c r="V34">
        <v>172040</v>
      </c>
      <c r="W34">
        <v>172040</v>
      </c>
      <c r="X34">
        <v>172040</v>
      </c>
      <c r="Y34">
        <v>172040</v>
      </c>
      <c r="Z34">
        <v>172040</v>
      </c>
      <c r="AA34">
        <v>172040</v>
      </c>
      <c r="AB34" s="12">
        <v>168897</v>
      </c>
      <c r="AC34">
        <v>196822</v>
      </c>
      <c r="AD34">
        <v>196822</v>
      </c>
      <c r="AE34">
        <v>196822</v>
      </c>
      <c r="AF34">
        <v>196822</v>
      </c>
      <c r="AG34">
        <v>196822</v>
      </c>
      <c r="AH34">
        <v>196822</v>
      </c>
      <c r="AI34">
        <v>196822</v>
      </c>
      <c r="AJ34">
        <v>196822</v>
      </c>
      <c r="AK34">
        <v>196822</v>
      </c>
      <c r="AL34">
        <v>196822</v>
      </c>
      <c r="AM34">
        <v>196822</v>
      </c>
      <c r="AN34">
        <v>196822</v>
      </c>
      <c r="AO34" s="12">
        <v>192721</v>
      </c>
      <c r="AP34">
        <v>214414</v>
      </c>
      <c r="AQ34">
        <v>214414</v>
      </c>
      <c r="AR34">
        <v>214414</v>
      </c>
      <c r="AS34">
        <v>214414</v>
      </c>
      <c r="AT34">
        <v>214414</v>
      </c>
      <c r="AU34">
        <v>214414</v>
      </c>
      <c r="AV34">
        <v>214414</v>
      </c>
      <c r="AW34">
        <v>214414</v>
      </c>
      <c r="AX34">
        <v>214414</v>
      </c>
      <c r="AY34">
        <v>214414</v>
      </c>
      <c r="AZ34">
        <v>214414</v>
      </c>
      <c r="BA34">
        <v>214414</v>
      </c>
      <c r="BB34" s="12">
        <v>210291</v>
      </c>
      <c r="BC34">
        <v>204597</v>
      </c>
      <c r="BD34">
        <v>204597</v>
      </c>
      <c r="BE34">
        <v>204597</v>
      </c>
      <c r="BF34">
        <v>204597</v>
      </c>
      <c r="BG34">
        <v>204597</v>
      </c>
      <c r="BH34">
        <v>204597</v>
      </c>
      <c r="BI34">
        <v>204597</v>
      </c>
      <c r="BJ34">
        <v>204597</v>
      </c>
      <c r="BK34">
        <v>204597</v>
      </c>
      <c r="BL34">
        <v>204597</v>
      </c>
      <c r="BM34">
        <v>204597</v>
      </c>
      <c r="BN34">
        <v>204597</v>
      </c>
      <c r="BO34" s="12">
        <v>220941</v>
      </c>
      <c r="BP34">
        <v>204597</v>
      </c>
      <c r="BQ34">
        <v>204597</v>
      </c>
      <c r="BR34">
        <v>204597</v>
      </c>
      <c r="BS34">
        <v>204597</v>
      </c>
      <c r="BT34">
        <v>204597</v>
      </c>
      <c r="BU34">
        <v>204597</v>
      </c>
      <c r="BV34">
        <v>204597</v>
      </c>
      <c r="BW34">
        <v>204597</v>
      </c>
      <c r="BX34">
        <v>204597</v>
      </c>
      <c r="BY34">
        <v>204597</v>
      </c>
      <c r="BZ34">
        <v>204597</v>
      </c>
      <c r="CA34">
        <v>204597</v>
      </c>
      <c r="CB34" s="12">
        <v>200930</v>
      </c>
    </row>
    <row r="35" spans="2:89" x14ac:dyDescent="0.25">
      <c r="B35" s="1" t="s">
        <v>66</v>
      </c>
      <c r="O35" s="12">
        <v>2786</v>
      </c>
      <c r="AB35" s="12">
        <v>3143</v>
      </c>
      <c r="AO35" s="12">
        <v>4101</v>
      </c>
      <c r="BB35" s="12">
        <v>4123</v>
      </c>
      <c r="BO35" s="12">
        <v>4097</v>
      </c>
      <c r="CB35" s="12">
        <v>3667</v>
      </c>
    </row>
    <row r="36" spans="2:89" x14ac:dyDescent="0.25">
      <c r="B36" s="1" t="s">
        <v>67</v>
      </c>
      <c r="O36">
        <f>+O35+O34</f>
        <v>165221</v>
      </c>
      <c r="AB36">
        <f>+AB35+AB34</f>
        <v>172040</v>
      </c>
      <c r="AO36">
        <f>+AO35+AO34</f>
        <v>196822</v>
      </c>
      <c r="BB36">
        <f>+BB35+BB34</f>
        <v>214414</v>
      </c>
      <c r="BO36">
        <f>+BO35+BO34</f>
        <v>225038</v>
      </c>
      <c r="CB36">
        <f>+CB35+CB34</f>
        <v>204597</v>
      </c>
      <c r="CC36" t="s">
        <v>69</v>
      </c>
    </row>
    <row r="37" spans="2:89" x14ac:dyDescent="0.25">
      <c r="CC37">
        <f>CB9+1</f>
        <v>2015</v>
      </c>
      <c r="CD37">
        <f>CC37+1</f>
        <v>2016</v>
      </c>
      <c r="CE37">
        <f t="shared" ref="CE37:CG37" si="18">CD37+1</f>
        <v>2017</v>
      </c>
      <c r="CF37">
        <f t="shared" si="18"/>
        <v>2018</v>
      </c>
      <c r="CG37">
        <f t="shared" si="18"/>
        <v>2019</v>
      </c>
      <c r="CH37">
        <f>CG37+1</f>
        <v>2020</v>
      </c>
      <c r="CI37" t="s">
        <v>71</v>
      </c>
      <c r="CJ37" t="s">
        <v>70</v>
      </c>
    </row>
    <row r="38" spans="2:89" x14ac:dyDescent="0.25">
      <c r="CJ38">
        <f>CB14/CB32</f>
        <v>0.82952478825228526</v>
      </c>
    </row>
    <row r="39" spans="2:89" x14ac:dyDescent="0.25">
      <c r="B39" t="s">
        <v>68</v>
      </c>
      <c r="O39" s="10">
        <f t="shared" ref="O39:AT39" si="19">+O32/O34</f>
        <v>18.592142210730447</v>
      </c>
      <c r="P39" s="10">
        <f t="shared" si="19"/>
        <v>0</v>
      </c>
      <c r="Q39" s="10">
        <f t="shared" si="19"/>
        <v>0</v>
      </c>
      <c r="R39" s="10">
        <f t="shared" si="19"/>
        <v>0</v>
      </c>
      <c r="S39" s="10">
        <f t="shared" si="19"/>
        <v>0</v>
      </c>
      <c r="T39" s="10">
        <f t="shared" si="19"/>
        <v>0</v>
      </c>
      <c r="U39" s="10">
        <f t="shared" si="19"/>
        <v>0</v>
      </c>
      <c r="V39" s="10">
        <f t="shared" si="19"/>
        <v>0</v>
      </c>
      <c r="W39" s="10">
        <f t="shared" si="19"/>
        <v>0</v>
      </c>
      <c r="X39" s="10">
        <f t="shared" si="19"/>
        <v>0</v>
      </c>
      <c r="Y39" s="10">
        <f t="shared" si="19"/>
        <v>0</v>
      </c>
      <c r="Z39" s="10">
        <f t="shared" si="19"/>
        <v>0</v>
      </c>
      <c r="AA39" s="10">
        <f t="shared" si="19"/>
        <v>0</v>
      </c>
      <c r="AB39" s="10">
        <f t="shared" si="19"/>
        <v>19.502530654777765</v>
      </c>
      <c r="AC39" s="10">
        <f t="shared" si="19"/>
        <v>0</v>
      </c>
      <c r="AD39" s="10">
        <f t="shared" si="19"/>
        <v>0</v>
      </c>
      <c r="AE39" s="10">
        <f t="shared" si="19"/>
        <v>0</v>
      </c>
      <c r="AF39" s="10">
        <f t="shared" si="19"/>
        <v>0</v>
      </c>
      <c r="AG39" s="10">
        <f t="shared" si="19"/>
        <v>0</v>
      </c>
      <c r="AH39" s="10">
        <f t="shared" si="19"/>
        <v>0</v>
      </c>
      <c r="AI39" s="10">
        <f t="shared" si="19"/>
        <v>0</v>
      </c>
      <c r="AJ39" s="10">
        <f t="shared" si="19"/>
        <v>0</v>
      </c>
      <c r="AK39" s="10">
        <f t="shared" si="19"/>
        <v>0</v>
      </c>
      <c r="AL39" s="10">
        <f t="shared" si="19"/>
        <v>0</v>
      </c>
      <c r="AM39" s="10">
        <f t="shared" si="19"/>
        <v>0</v>
      </c>
      <c r="AN39" s="10">
        <f t="shared" si="19"/>
        <v>0</v>
      </c>
      <c r="AO39" s="10">
        <f t="shared" si="19"/>
        <v>19.937304185843786</v>
      </c>
      <c r="AP39" s="10">
        <f t="shared" si="19"/>
        <v>0</v>
      </c>
      <c r="AQ39" s="10">
        <f t="shared" si="19"/>
        <v>0</v>
      </c>
      <c r="AR39" s="10">
        <f t="shared" si="19"/>
        <v>0</v>
      </c>
      <c r="AS39" s="10">
        <f t="shared" si="19"/>
        <v>0</v>
      </c>
      <c r="AT39" s="10">
        <f t="shared" si="19"/>
        <v>0</v>
      </c>
      <c r="AU39" s="10">
        <f t="shared" ref="AU39:CB39" si="20">+AU32/AU34</f>
        <v>0</v>
      </c>
      <c r="AV39" s="10">
        <f t="shared" si="20"/>
        <v>0</v>
      </c>
      <c r="AW39" s="10">
        <f t="shared" si="20"/>
        <v>0</v>
      </c>
      <c r="AX39" s="10">
        <f t="shared" si="20"/>
        <v>0</v>
      </c>
      <c r="AY39" s="10">
        <f t="shared" si="20"/>
        <v>0</v>
      </c>
      <c r="AZ39" s="10">
        <f t="shared" si="20"/>
        <v>0</v>
      </c>
      <c r="BA39" s="10">
        <f t="shared" si="20"/>
        <v>0</v>
      </c>
      <c r="BB39" s="10">
        <f t="shared" si="20"/>
        <v>20.354001978211148</v>
      </c>
      <c r="BC39" s="10">
        <f t="shared" si="20"/>
        <v>0</v>
      </c>
      <c r="BD39" s="10">
        <f t="shared" si="20"/>
        <v>0</v>
      </c>
      <c r="BE39" s="10">
        <f t="shared" si="20"/>
        <v>0</v>
      </c>
      <c r="BF39" s="10">
        <f t="shared" si="20"/>
        <v>0</v>
      </c>
      <c r="BG39" s="10">
        <f t="shared" si="20"/>
        <v>0</v>
      </c>
      <c r="BH39" s="10">
        <f t="shared" si="20"/>
        <v>0</v>
      </c>
      <c r="BI39" s="10">
        <f t="shared" si="20"/>
        <v>0</v>
      </c>
      <c r="BJ39" s="10">
        <f t="shared" si="20"/>
        <v>0</v>
      </c>
      <c r="BK39" s="10">
        <f t="shared" si="20"/>
        <v>0</v>
      </c>
      <c r="BL39" s="10">
        <f t="shared" si="20"/>
        <v>0</v>
      </c>
      <c r="BM39" s="10">
        <f t="shared" si="20"/>
        <v>0</v>
      </c>
      <c r="BN39" s="10">
        <f t="shared" si="20"/>
        <v>0</v>
      </c>
      <c r="BO39" s="10">
        <f t="shared" si="20"/>
        <v>16.998979546575782</v>
      </c>
      <c r="BP39" s="10">
        <f t="shared" si="20"/>
        <v>0</v>
      </c>
      <c r="BQ39" s="10">
        <f t="shared" si="20"/>
        <v>0</v>
      </c>
      <c r="BR39" s="10">
        <f t="shared" si="20"/>
        <v>0</v>
      </c>
      <c r="BS39" s="10">
        <f t="shared" si="20"/>
        <v>0</v>
      </c>
      <c r="BT39" s="10">
        <f t="shared" si="20"/>
        <v>0</v>
      </c>
      <c r="BU39" s="10">
        <f t="shared" si="20"/>
        <v>0</v>
      </c>
      <c r="BV39" s="10">
        <f t="shared" si="20"/>
        <v>0</v>
      </c>
      <c r="BW39" s="10">
        <f t="shared" si="20"/>
        <v>0</v>
      </c>
      <c r="BX39" s="10">
        <f t="shared" si="20"/>
        <v>0</v>
      </c>
      <c r="BY39" s="10">
        <f t="shared" si="20"/>
        <v>0</v>
      </c>
      <c r="BZ39" s="10">
        <f t="shared" si="20"/>
        <v>0</v>
      </c>
      <c r="CA39" s="10">
        <f t="shared" si="20"/>
        <v>0</v>
      </c>
      <c r="CB39" s="10">
        <f t="shared" si="20"/>
        <v>17.240361618474097</v>
      </c>
      <c r="CC39">
        <f>(CB39*Escalators!$E$24*$CJ$38)+(CB39*(1-$CJ$38))</f>
        <v>17.42055809071816</v>
      </c>
      <c r="CD39">
        <f>(CC39*Escalators!$E$24*$CJ$38)+(CC39*(1-$CJ$38))</f>
        <v>17.602637978712298</v>
      </c>
      <c r="CE39">
        <f>(CD39*Escalators!$E$24*$CJ$38)+(CD39*(1-$CJ$38))</f>
        <v>17.786620967941158</v>
      </c>
      <c r="CF39">
        <f>(CE39*Escalators!$E$24*$CJ$38)+(CE39*(1-$CJ$38))</f>
        <v>17.972526949642308</v>
      </c>
      <c r="CG39">
        <f>(CF39*Escalators!$E$24*$CJ$38)+(CF39*(1-$CJ$38))</f>
        <v>18.16037602295679</v>
      </c>
      <c r="CH39">
        <f>(CG39*Escalators!$E$24*$CJ$38)+(CG39*(1-$CJ$38))</f>
        <v>18.350188497102106</v>
      </c>
      <c r="CI39" s="99">
        <f>NPV(WACC!D4,CD39:CH39)*(1+WACC!D4)^(1/2)</f>
        <v>75.287328003852537</v>
      </c>
    </row>
    <row r="40" spans="2:89" ht="15.75" thickBot="1" x14ac:dyDescent="0.3">
      <c r="CD40">
        <v>1</v>
      </c>
      <c r="CE40">
        <v>1</v>
      </c>
      <c r="CF40">
        <v>1</v>
      </c>
      <c r="CG40">
        <v>1</v>
      </c>
      <c r="CH40">
        <v>1</v>
      </c>
      <c r="CI40">
        <f>NPV(WACC!D4,CD40:CH40)*(1+WACC!D4)^(1/2)</f>
        <v>4.1948627496302482</v>
      </c>
    </row>
    <row r="41" spans="2:89" ht="15.75" thickBot="1" x14ac:dyDescent="0.3">
      <c r="CD41" s="11"/>
      <c r="CE41" s="11"/>
      <c r="CF41" s="12"/>
      <c r="CG41" s="12"/>
      <c r="CH41" s="12"/>
      <c r="CI41" s="58">
        <f>CI39/CI40</f>
        <v>17.947506866699907</v>
      </c>
      <c r="CJ41" s="12" t="s">
        <v>145</v>
      </c>
      <c r="CK41" s="12"/>
    </row>
    <row r="42" spans="2:89" x14ac:dyDescent="0.25">
      <c r="CD42" s="11">
        <f>CD40*$CI$41</f>
        <v>17.947506866699907</v>
      </c>
      <c r="CE42" s="11">
        <f t="shared" ref="CE42:CH42" si="21">CE40*$CI$41</f>
        <v>17.947506866699907</v>
      </c>
      <c r="CF42" s="11">
        <f t="shared" si="21"/>
        <v>17.947506866699907</v>
      </c>
      <c r="CG42" s="11">
        <f t="shared" si="21"/>
        <v>17.947506866699907</v>
      </c>
      <c r="CH42" s="11">
        <f t="shared" si="21"/>
        <v>17.947506866699907</v>
      </c>
      <c r="CI42" s="100">
        <f>NPV(WACC!D4,CD42:CH42)*(1+WACC!D4)^(1/2)</f>
        <v>75.287328003852537</v>
      </c>
      <c r="CJ42" s="12" t="s">
        <v>316</v>
      </c>
      <c r="CK42" s="12"/>
    </row>
    <row r="43" spans="2:89" x14ac:dyDescent="0.25">
      <c r="CD43" s="11"/>
      <c r="CE43" s="11"/>
      <c r="CF43" s="12"/>
      <c r="CG43" s="12"/>
      <c r="CH43" s="12"/>
      <c r="CI43" s="12"/>
      <c r="CJ43" s="12"/>
      <c r="CK43" s="12"/>
    </row>
    <row r="44" spans="2:89" x14ac:dyDescent="0.25">
      <c r="CD44" s="11"/>
      <c r="CE44" s="11"/>
      <c r="CF44" s="12"/>
      <c r="CG44" s="12"/>
      <c r="CH44" s="12"/>
      <c r="CI44" s="12"/>
      <c r="CJ44" s="12"/>
      <c r="CK44" s="12"/>
    </row>
    <row r="45" spans="2:89" x14ac:dyDescent="0.25">
      <c r="CD45" s="11"/>
      <c r="CE45" s="11"/>
      <c r="CF45" s="12"/>
      <c r="CG45" s="12"/>
      <c r="CH45" s="12"/>
      <c r="CI45" s="12"/>
      <c r="CJ45" s="12"/>
      <c r="CK45" s="12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B1:V25"/>
  <sheetViews>
    <sheetView zoomScale="104" zoomScaleNormal="104" workbookViewId="0">
      <selection activeCell="P4" sqref="P4:P17"/>
    </sheetView>
  </sheetViews>
  <sheetFormatPr defaultRowHeight="15" x14ac:dyDescent="0.25"/>
  <cols>
    <col min="2" max="2" width="20.42578125" customWidth="1"/>
    <col min="3" max="3" width="23.28515625" customWidth="1"/>
    <col min="4" max="4" width="13.7109375" customWidth="1"/>
    <col min="5" max="5" width="17.140625" customWidth="1"/>
    <col min="8" max="8" width="14" customWidth="1"/>
  </cols>
  <sheetData>
    <row r="1" spans="2:22" x14ac:dyDescent="0.25">
      <c r="H1">
        <v>1</v>
      </c>
      <c r="I1">
        <v>1</v>
      </c>
      <c r="J1">
        <v>1</v>
      </c>
      <c r="K1">
        <v>1</v>
      </c>
      <c r="L1">
        <v>1</v>
      </c>
      <c r="M1">
        <v>1</v>
      </c>
      <c r="N1">
        <v>1</v>
      </c>
      <c r="P1">
        <v>1</v>
      </c>
      <c r="Q1">
        <v>1</v>
      </c>
      <c r="R1">
        <v>1</v>
      </c>
      <c r="S1">
        <v>1</v>
      </c>
      <c r="T1">
        <v>1</v>
      </c>
      <c r="U1">
        <v>1</v>
      </c>
      <c r="V1">
        <v>1</v>
      </c>
    </row>
    <row r="2" spans="2:22" ht="30.75" thickBot="1" x14ac:dyDescent="0.3">
      <c r="B2" t="s">
        <v>203</v>
      </c>
      <c r="H2" s="53" t="s">
        <v>143</v>
      </c>
      <c r="P2" s="53" t="s">
        <v>74</v>
      </c>
    </row>
    <row r="3" spans="2:22" ht="61.5" thickTop="1" thickBot="1" x14ac:dyDescent="0.3">
      <c r="B3" s="48" t="s">
        <v>123</v>
      </c>
      <c r="C3" s="13" t="s">
        <v>124</v>
      </c>
      <c r="D3" s="13" t="s">
        <v>125</v>
      </c>
      <c r="E3" s="14" t="s">
        <v>126</v>
      </c>
      <c r="H3" s="53" t="s">
        <v>142</v>
      </c>
      <c r="I3" s="53">
        <v>2015</v>
      </c>
      <c r="J3" s="53">
        <v>2016</v>
      </c>
      <c r="K3" s="53">
        <v>2017</v>
      </c>
      <c r="L3" s="53">
        <v>2018</v>
      </c>
      <c r="M3" s="53">
        <v>2019</v>
      </c>
      <c r="N3" s="53">
        <v>2020</v>
      </c>
      <c r="P3" s="53" t="s">
        <v>142</v>
      </c>
      <c r="Q3" s="53">
        <v>2015</v>
      </c>
      <c r="R3" s="53">
        <v>2016</v>
      </c>
      <c r="S3" s="53">
        <v>2017</v>
      </c>
      <c r="T3" s="53">
        <v>2018</v>
      </c>
      <c r="U3" s="53">
        <v>2019</v>
      </c>
      <c r="V3" s="53">
        <v>2020</v>
      </c>
    </row>
    <row r="4" spans="2:22" ht="27" thickTop="1" thickBot="1" x14ac:dyDescent="0.3">
      <c r="B4" s="49" t="s">
        <v>127</v>
      </c>
      <c r="C4" s="50" t="s">
        <v>128</v>
      </c>
      <c r="D4" s="54">
        <f>I4</f>
        <v>99.991009679999991</v>
      </c>
      <c r="E4" s="54">
        <f>Q4</f>
        <v>121.441118</v>
      </c>
      <c r="H4" s="158">
        <v>98.746799999999993</v>
      </c>
      <c r="I4">
        <f>$H4*Escalators!E$24</f>
        <v>99.991009679999991</v>
      </c>
      <c r="J4">
        <f>$H4*Escalators!F$24</f>
        <v>100.35097731484801</v>
      </c>
      <c r="K4">
        <f>$H4*Escalators!G$24</f>
        <v>101.15605665687288</v>
      </c>
      <c r="L4">
        <f>$H4*Escalators!H$24</f>
        <v>102.45048286084644</v>
      </c>
      <c r="M4">
        <f>$H4*Escalators!I$24</f>
        <v>103.96638081060431</v>
      </c>
      <c r="N4">
        <f>$H4*Escalators!J$24</f>
        <v>105.38881273425831</v>
      </c>
      <c r="P4" s="158">
        <v>119.93</v>
      </c>
      <c r="Q4">
        <f>$P4*Escalators!E$24</f>
        <v>121.441118</v>
      </c>
      <c r="R4">
        <f>$P4*Escalators!F$24</f>
        <v>121.87830602480003</v>
      </c>
      <c r="S4">
        <f>$P4*Escalators!G$24</f>
        <v>122.85609128456584</v>
      </c>
      <c r="T4">
        <f>$P4*Escalators!H$24</f>
        <v>124.42819827580554</v>
      </c>
      <c r="U4">
        <f>$P4*Escalators!I$24</f>
        <v>126.26928721351757</v>
      </c>
      <c r="V4">
        <f>$P4*Escalators!J$24</f>
        <v>127.99685975869194</v>
      </c>
    </row>
    <row r="5" spans="2:22" ht="26.25" thickBot="1" x14ac:dyDescent="0.3">
      <c r="B5" s="49" t="s">
        <v>127</v>
      </c>
      <c r="C5" s="50" t="s">
        <v>129</v>
      </c>
      <c r="D5" s="54">
        <f t="shared" ref="D5:D17" si="0">I5</f>
        <v>97.65919439999999</v>
      </c>
      <c r="E5" s="54">
        <f t="shared" ref="E5:E17" si="1">Q5</f>
        <v>118.60908084507042</v>
      </c>
      <c r="H5" s="158">
        <v>96.443999999999988</v>
      </c>
      <c r="I5">
        <f>$H5*Escalators!E$24</f>
        <v>97.65919439999999</v>
      </c>
      <c r="J5">
        <f>$H5*Escalators!F$24</f>
        <v>98.01076749984</v>
      </c>
      <c r="K5">
        <f>$H5*Escalators!G$24</f>
        <v>98.797072190850216</v>
      </c>
      <c r="L5">
        <f>$H5*Escalators!H$24</f>
        <v>100.06131205296246</v>
      </c>
      <c r="M5">
        <f>$H5*Escalators!I$24</f>
        <v>101.54185888452002</v>
      </c>
      <c r="N5">
        <f>$H5*Escalators!J$24</f>
        <v>102.93111934100962</v>
      </c>
      <c r="P5" s="158">
        <f>+H5*P4/H4</f>
        <v>117.13320249365043</v>
      </c>
      <c r="Q5">
        <f>$P5*Escalators!E$24</f>
        <v>118.60908084507042</v>
      </c>
      <c r="R5">
        <f>$P5*Escalators!F$24</f>
        <v>119.0360735361127</v>
      </c>
      <c r="S5">
        <f>$P5*Escalators!G$24</f>
        <v>119.99105659979531</v>
      </c>
      <c r="T5">
        <f>$P5*Escalators!H$24</f>
        <v>121.52650166397078</v>
      </c>
      <c r="U5">
        <f>$P5*Escalators!I$24</f>
        <v>123.32465594855213</v>
      </c>
      <c r="V5">
        <f>$P5*Escalators!J$24</f>
        <v>125.01194107117684</v>
      </c>
    </row>
    <row r="6" spans="2:22" ht="26.25" thickBot="1" x14ac:dyDescent="0.3">
      <c r="B6" s="49" t="s">
        <v>127</v>
      </c>
      <c r="C6" s="50" t="s">
        <v>130</v>
      </c>
      <c r="D6" s="54">
        <f t="shared" si="0"/>
        <v>97.65919439999999</v>
      </c>
      <c r="E6" s="54">
        <f t="shared" si="1"/>
        <v>118.60908084507042</v>
      </c>
      <c r="H6" s="158">
        <v>96.443999999999988</v>
      </c>
      <c r="I6">
        <f>$H6*Escalators!E$24</f>
        <v>97.65919439999999</v>
      </c>
      <c r="J6">
        <f>$H6*Escalators!F$24</f>
        <v>98.01076749984</v>
      </c>
      <c r="K6">
        <f>$H6*Escalators!G$24</f>
        <v>98.797072190850216</v>
      </c>
      <c r="L6">
        <f>$H6*Escalators!H$24</f>
        <v>100.06131205296246</v>
      </c>
      <c r="M6">
        <f>$H6*Escalators!I$24</f>
        <v>101.54185888452002</v>
      </c>
      <c r="N6">
        <f>$H6*Escalators!J$24</f>
        <v>102.93111934100962</v>
      </c>
      <c r="P6" s="158">
        <f>+H6*P4/H4</f>
        <v>117.13320249365043</v>
      </c>
      <c r="Q6">
        <f>$P6*Escalators!E$24</f>
        <v>118.60908084507042</v>
      </c>
      <c r="R6">
        <f>$P6*Escalators!F$24</f>
        <v>119.0360735361127</v>
      </c>
      <c r="S6">
        <f>$P6*Escalators!G$24</f>
        <v>119.99105659979531</v>
      </c>
      <c r="T6">
        <f>$P6*Escalators!H$24</f>
        <v>121.52650166397078</v>
      </c>
      <c r="U6">
        <f>$P6*Escalators!I$24</f>
        <v>123.32465594855213</v>
      </c>
      <c r="V6">
        <f>$P6*Escalators!J$24</f>
        <v>125.01194107117684</v>
      </c>
    </row>
    <row r="7" spans="2:22" ht="26.25" thickBot="1" x14ac:dyDescent="0.3">
      <c r="B7" s="49" t="s">
        <v>127</v>
      </c>
      <c r="C7" s="50" t="s">
        <v>131</v>
      </c>
      <c r="D7" s="54">
        <f t="shared" si="0"/>
        <v>174.59755499999997</v>
      </c>
      <c r="E7" s="54">
        <f t="shared" si="1"/>
        <v>196.85247574253518</v>
      </c>
      <c r="H7" s="158">
        <v>172.42499999999998</v>
      </c>
      <c r="I7">
        <f>$H7*Escalators!E$24</f>
        <v>174.59755499999997</v>
      </c>
      <c r="J7">
        <f>$H7*Escalators!F$24</f>
        <v>175.226106198</v>
      </c>
      <c r="K7">
        <f>$H7*Escalators!G$24</f>
        <v>176.63188142867725</v>
      </c>
      <c r="L7">
        <f>$H7*Escalators!H$24</f>
        <v>178.89212113487673</v>
      </c>
      <c r="M7">
        <f>$H7*Escalators!I$24</f>
        <v>181.5390798615089</v>
      </c>
      <c r="N7">
        <f>$H7*Escalators!J$24</f>
        <v>184.02283451924001</v>
      </c>
      <c r="P7" s="158">
        <f>P13+(H7-H13)</f>
        <v>194.40299796813667</v>
      </c>
      <c r="Q7">
        <f>$P7*Escalators!E$24</f>
        <v>196.85247574253518</v>
      </c>
      <c r="R7">
        <f>$P7*Escalators!F$24</f>
        <v>197.56114465520835</v>
      </c>
      <c r="S7">
        <f>$P7*Escalators!G$24</f>
        <v>199.14610576475164</v>
      </c>
      <c r="T7">
        <f>$P7*Escalators!H$24</f>
        <v>201.69444489777646</v>
      </c>
      <c r="U7">
        <f>$P7*Escalators!I$24</f>
        <v>204.67879584430517</v>
      </c>
      <c r="V7">
        <f>$P7*Escalators!J$24</f>
        <v>207.4791400616765</v>
      </c>
    </row>
    <row r="8" spans="2:22" ht="15.75" thickBot="1" x14ac:dyDescent="0.3">
      <c r="B8" s="49" t="s">
        <v>127</v>
      </c>
      <c r="C8" s="50" t="s">
        <v>132</v>
      </c>
      <c r="D8" s="54">
        <f t="shared" si="0"/>
        <v>134.22944591999999</v>
      </c>
      <c r="E8" s="54">
        <f t="shared" si="1"/>
        <v>0</v>
      </c>
      <c r="H8" s="158">
        <v>132.5592</v>
      </c>
      <c r="I8">
        <f>$H8*Escalators!E$24</f>
        <v>134.22944591999999</v>
      </c>
      <c r="J8">
        <f>$H8*Escalators!F$24</f>
        <v>134.71267192531201</v>
      </c>
      <c r="K8">
        <f>$H8*Escalators!G$24</f>
        <v>135.79342262827498</v>
      </c>
      <c r="L8">
        <f>$H8*Escalators!H$24</f>
        <v>137.53107997066758</v>
      </c>
      <c r="M8">
        <f>$H8*Escalators!I$24</f>
        <v>139.56604433914882</v>
      </c>
      <c r="N8">
        <f>$H8*Escalators!J$24</f>
        <v>141.4755384984941</v>
      </c>
      <c r="P8" s="158"/>
      <c r="Q8">
        <f>$P8*Escalators!E$24</f>
        <v>0</v>
      </c>
      <c r="R8">
        <f>$P8*Escalators!F$24</f>
        <v>0</v>
      </c>
      <c r="S8">
        <f>$P8*Escalators!G$24</f>
        <v>0</v>
      </c>
      <c r="T8">
        <f>$P8*Escalators!H$24</f>
        <v>0</v>
      </c>
      <c r="U8">
        <f>$P8*Escalators!I$24</f>
        <v>0</v>
      </c>
      <c r="V8">
        <f>$P8*Escalators!J$24</f>
        <v>0</v>
      </c>
    </row>
    <row r="9" spans="2:22" ht="26.25" thickBot="1" x14ac:dyDescent="0.3">
      <c r="B9" s="49" t="s">
        <v>127</v>
      </c>
      <c r="C9" s="50" t="s">
        <v>133</v>
      </c>
      <c r="D9" s="54">
        <f t="shared" si="0"/>
        <v>134.22944591999999</v>
      </c>
      <c r="E9" s="54">
        <f t="shared" si="1"/>
        <v>0</v>
      </c>
      <c r="H9" s="158">
        <v>132.5592</v>
      </c>
      <c r="I9">
        <f>$H9*Escalators!E$24</f>
        <v>134.22944591999999</v>
      </c>
      <c r="J9">
        <f>$H9*Escalators!F$24</f>
        <v>134.71267192531201</v>
      </c>
      <c r="K9">
        <f>$H9*Escalators!G$24</f>
        <v>135.79342262827498</v>
      </c>
      <c r="L9">
        <f>$H9*Escalators!H$24</f>
        <v>137.53107997066758</v>
      </c>
      <c r="M9">
        <f>$H9*Escalators!I$24</f>
        <v>139.56604433914882</v>
      </c>
      <c r="N9">
        <f>$H9*Escalators!J$24</f>
        <v>141.4755384984941</v>
      </c>
      <c r="P9" s="158"/>
      <c r="Q9">
        <f>$P9*Escalators!E$24</f>
        <v>0</v>
      </c>
      <c r="R9">
        <f>$P9*Escalators!F$24</f>
        <v>0</v>
      </c>
      <c r="S9">
        <f>$P9*Escalators!G$24</f>
        <v>0</v>
      </c>
      <c r="T9">
        <f>$P9*Escalators!H$24</f>
        <v>0</v>
      </c>
      <c r="U9">
        <f>$P9*Escalators!I$24</f>
        <v>0</v>
      </c>
      <c r="V9">
        <f>$P9*Escalators!J$24</f>
        <v>0</v>
      </c>
    </row>
    <row r="10" spans="2:22" ht="15.75" thickBot="1" x14ac:dyDescent="0.3">
      <c r="B10" s="49" t="s">
        <v>134</v>
      </c>
      <c r="C10" s="50" t="s">
        <v>135</v>
      </c>
      <c r="D10" s="54">
        <f t="shared" si="0"/>
        <v>114.60525791999999</v>
      </c>
      <c r="E10" s="54">
        <f t="shared" si="1"/>
        <v>139.19042016901409</v>
      </c>
      <c r="H10" s="158">
        <v>113.17919999999999</v>
      </c>
      <c r="I10">
        <f>$H10*Escalators!E$24</f>
        <v>114.60525791999999</v>
      </c>
      <c r="J10">
        <f>$H10*Escalators!F$24</f>
        <v>115.017836848512</v>
      </c>
      <c r="K10">
        <f>$H10*Escalators!G$24</f>
        <v>115.9405830627377</v>
      </c>
      <c r="L10">
        <f>$H10*Escalators!H$24</f>
        <v>117.42419693402026</v>
      </c>
      <c r="M10">
        <f>$H10*Escalators!I$24</f>
        <v>119.16165189190482</v>
      </c>
      <c r="N10">
        <f>$H10*Escalators!J$24</f>
        <v>120.79198023848032</v>
      </c>
      <c r="P10" s="158">
        <f>+H10*P4/H4</f>
        <v>137.45844377741861</v>
      </c>
      <c r="Q10">
        <f>$P10*Escalators!E$24</f>
        <v>139.19042016901409</v>
      </c>
      <c r="R10">
        <f>$P10*Escalators!F$24</f>
        <v>139.69150568162254</v>
      </c>
      <c r="S10">
        <f>$P10*Escalators!G$24</f>
        <v>140.81219975446427</v>
      </c>
      <c r="T10">
        <f>$P10*Escalators!H$24</f>
        <v>142.61407902126498</v>
      </c>
      <c r="U10">
        <f>$P10*Escalators!I$24</f>
        <v>144.72425345830089</v>
      </c>
      <c r="V10">
        <f>$P10*Escalators!J$24</f>
        <v>146.7043204438113</v>
      </c>
    </row>
    <row r="11" spans="2:22" ht="15.75" thickBot="1" x14ac:dyDescent="0.3">
      <c r="B11" s="49" t="s">
        <v>134</v>
      </c>
      <c r="C11" s="50" t="s">
        <v>136</v>
      </c>
      <c r="D11" s="54">
        <f t="shared" si="0"/>
        <v>88.066429560000003</v>
      </c>
      <c r="E11" s="54">
        <f t="shared" si="1"/>
        <v>106.95847254929579</v>
      </c>
      <c r="H11" s="158">
        <v>86.970600000000005</v>
      </c>
      <c r="I11">
        <f>$H11*Escalators!E$24</f>
        <v>88.066429560000003</v>
      </c>
      <c r="J11">
        <f>$H11*Escalators!F$24</f>
        <v>88.383468706416011</v>
      </c>
      <c r="K11">
        <f>$H11*Escalators!G$24</f>
        <v>89.092537085578769</v>
      </c>
      <c r="L11">
        <f>$H11*Escalators!H$24</f>
        <v>90.232594521519005</v>
      </c>
      <c r="M11">
        <f>$H11*Escalators!I$24</f>
        <v>91.567711752955489</v>
      </c>
      <c r="N11">
        <f>$H11*Escalators!J$24</f>
        <v>92.820509391555845</v>
      </c>
      <c r="P11" s="158">
        <f>+H11*P4/H4</f>
        <v>105.62756522743018</v>
      </c>
      <c r="Q11">
        <f>$P11*Escalators!E$24</f>
        <v>106.95847254929579</v>
      </c>
      <c r="R11">
        <f>$P11*Escalators!F$24</f>
        <v>107.34352305047328</v>
      </c>
      <c r="S11">
        <f>$P11*Escalators!G$24</f>
        <v>108.20470104017005</v>
      </c>
      <c r="T11">
        <f>$P11*Escalators!H$24</f>
        <v>109.58932401825453</v>
      </c>
      <c r="U11">
        <f>$P11*Escalators!I$24</f>
        <v>111.21085109119439</v>
      </c>
      <c r="V11">
        <f>$P11*Escalators!J$24</f>
        <v>112.73239934184495</v>
      </c>
    </row>
    <row r="12" spans="2:22" ht="15.75" thickBot="1" x14ac:dyDescent="0.3">
      <c r="B12" s="49" t="s">
        <v>134</v>
      </c>
      <c r="C12" s="50" t="s">
        <v>137</v>
      </c>
      <c r="D12" s="54">
        <f t="shared" si="0"/>
        <v>103.74269267999999</v>
      </c>
      <c r="E12" s="54">
        <f t="shared" si="1"/>
        <v>125.9976134225352</v>
      </c>
      <c r="H12" s="158">
        <v>102.45179999999999</v>
      </c>
      <c r="I12">
        <f>$H12*Escalators!E$24</f>
        <v>103.74269267999999</v>
      </c>
      <c r="J12">
        <f>$H12*Escalators!F$24</f>
        <v>104.116166373648</v>
      </c>
      <c r="K12">
        <f>$H12*Escalators!G$24</f>
        <v>104.95145245616676</v>
      </c>
      <c r="L12">
        <f>$H12*Escalators!H$24</f>
        <v>106.29444579432312</v>
      </c>
      <c r="M12">
        <f>$H12*Escalators!I$24</f>
        <v>107.86722054316566</v>
      </c>
      <c r="N12">
        <f>$H12*Escalators!J$24</f>
        <v>109.34302240161388</v>
      </c>
      <c r="P12" s="158">
        <f>+H12*P4/H4</f>
        <v>124.42979796813668</v>
      </c>
      <c r="Q12">
        <f>$P12*Escalators!E$24</f>
        <v>125.9976134225352</v>
      </c>
      <c r="R12">
        <f>$P12*Escalators!F$24</f>
        <v>126.45120483085634</v>
      </c>
      <c r="S12">
        <f>$P12*Escalators!G$24</f>
        <v>127.46567679224118</v>
      </c>
      <c r="T12">
        <f>$P12*Escalators!H$24</f>
        <v>129.09676955722284</v>
      </c>
      <c r="U12">
        <f>$P12*Escalators!I$24</f>
        <v>131.00693652596195</v>
      </c>
      <c r="V12">
        <f>$P12*Escalators!J$24</f>
        <v>132.79932794405036</v>
      </c>
    </row>
    <row r="13" spans="2:22" ht="15.75" thickBot="1" x14ac:dyDescent="0.3">
      <c r="B13" s="49" t="s">
        <v>134</v>
      </c>
      <c r="C13" s="50" t="s">
        <v>138</v>
      </c>
      <c r="D13" s="54">
        <f t="shared" si="0"/>
        <v>103.74269267999999</v>
      </c>
      <c r="E13" s="54">
        <f t="shared" si="1"/>
        <v>125.9976134225352</v>
      </c>
      <c r="H13" s="158">
        <v>102.45179999999999</v>
      </c>
      <c r="I13">
        <f>$H13*Escalators!E$24</f>
        <v>103.74269267999999</v>
      </c>
      <c r="J13">
        <f>$H13*Escalators!F$24</f>
        <v>104.116166373648</v>
      </c>
      <c r="K13">
        <f>$H13*Escalators!G$24</f>
        <v>104.95145245616676</v>
      </c>
      <c r="L13">
        <f>$H13*Escalators!H$24</f>
        <v>106.29444579432312</v>
      </c>
      <c r="M13">
        <f>$H13*Escalators!I$24</f>
        <v>107.86722054316566</v>
      </c>
      <c r="N13">
        <f>$H13*Escalators!J$24</f>
        <v>109.34302240161388</v>
      </c>
      <c r="P13" s="158">
        <f>+H13*P4/H4</f>
        <v>124.42979796813668</v>
      </c>
      <c r="Q13">
        <f>$P13*Escalators!E$24</f>
        <v>125.9976134225352</v>
      </c>
      <c r="R13">
        <f>$P13*Escalators!F$24</f>
        <v>126.45120483085634</v>
      </c>
      <c r="S13">
        <f>$P13*Escalators!G$24</f>
        <v>127.46567679224118</v>
      </c>
      <c r="T13">
        <f>$P13*Escalators!H$24</f>
        <v>129.09676955722284</v>
      </c>
      <c r="U13">
        <f>$P13*Escalators!I$24</f>
        <v>131.00693652596195</v>
      </c>
      <c r="V13">
        <f>$P13*Escalators!J$24</f>
        <v>132.79932794405036</v>
      </c>
    </row>
    <row r="14" spans="2:22" ht="15.75" thickBot="1" x14ac:dyDescent="0.3">
      <c r="B14" s="49" t="s">
        <v>134</v>
      </c>
      <c r="C14" s="50" t="s">
        <v>139</v>
      </c>
      <c r="D14" s="54">
        <f t="shared" si="0"/>
        <v>99.991009679999991</v>
      </c>
      <c r="E14" s="54">
        <f t="shared" si="1"/>
        <v>121.441118</v>
      </c>
      <c r="H14" s="158">
        <v>98.746799999999993</v>
      </c>
      <c r="I14">
        <f>$H14*Escalators!E$24</f>
        <v>99.991009679999991</v>
      </c>
      <c r="J14">
        <f>$H14*Escalators!F$24</f>
        <v>100.35097731484801</v>
      </c>
      <c r="K14">
        <f>$H14*Escalators!G$24</f>
        <v>101.15605665687288</v>
      </c>
      <c r="L14">
        <f>$H14*Escalators!H$24</f>
        <v>102.45048286084644</v>
      </c>
      <c r="M14">
        <f>$H14*Escalators!I$24</f>
        <v>103.96638081060431</v>
      </c>
      <c r="N14">
        <f>$H14*Escalators!J$24</f>
        <v>105.38881273425831</v>
      </c>
      <c r="P14" s="158">
        <v>119.93</v>
      </c>
      <c r="Q14">
        <f>$P14*Escalators!E$24</f>
        <v>121.441118</v>
      </c>
      <c r="R14">
        <f>$P14*Escalators!F$24</f>
        <v>121.87830602480003</v>
      </c>
      <c r="S14">
        <f>$P14*Escalators!G$24</f>
        <v>122.85609128456584</v>
      </c>
      <c r="T14">
        <f>$P14*Escalators!H$24</f>
        <v>124.42819827580554</v>
      </c>
      <c r="U14">
        <f>$P14*Escalators!I$24</f>
        <v>126.26928721351757</v>
      </c>
      <c r="V14">
        <f>$P14*Escalators!J$24</f>
        <v>127.99685975869194</v>
      </c>
    </row>
    <row r="15" spans="2:22" ht="15.75" thickBot="1" x14ac:dyDescent="0.3">
      <c r="B15" s="49" t="s">
        <v>134</v>
      </c>
      <c r="C15" s="50" t="s">
        <v>140</v>
      </c>
      <c r="D15" s="54">
        <f t="shared" si="0"/>
        <v>103.74269267999999</v>
      </c>
      <c r="E15" s="54">
        <f t="shared" si="1"/>
        <v>125.9976134225352</v>
      </c>
      <c r="H15" s="158">
        <v>102.45179999999999</v>
      </c>
      <c r="I15">
        <f>$H15*Escalators!E$24</f>
        <v>103.74269267999999</v>
      </c>
      <c r="J15">
        <f>$H15*Escalators!F$24</f>
        <v>104.116166373648</v>
      </c>
      <c r="K15">
        <f>$H15*Escalators!G$24</f>
        <v>104.95145245616676</v>
      </c>
      <c r="L15">
        <f>$H15*Escalators!H$24</f>
        <v>106.29444579432312</v>
      </c>
      <c r="M15">
        <f>$H15*Escalators!I$24</f>
        <v>107.86722054316566</v>
      </c>
      <c r="N15">
        <f>$H15*Escalators!J$24</f>
        <v>109.34302240161388</v>
      </c>
      <c r="P15" s="158">
        <f>+H15*P4/H4</f>
        <v>124.42979796813668</v>
      </c>
      <c r="Q15">
        <f>$P15*Escalators!E$24</f>
        <v>125.9976134225352</v>
      </c>
      <c r="R15">
        <f>$P15*Escalators!F$24</f>
        <v>126.45120483085634</v>
      </c>
      <c r="S15">
        <f>$P15*Escalators!G$24</f>
        <v>127.46567679224118</v>
      </c>
      <c r="T15">
        <f>$P15*Escalators!H$24</f>
        <v>129.09676955722284</v>
      </c>
      <c r="U15">
        <f>$P15*Escalators!I$24</f>
        <v>131.00693652596195</v>
      </c>
      <c r="V15">
        <f>$P15*Escalators!J$24</f>
        <v>132.79932794405036</v>
      </c>
    </row>
    <row r="16" spans="2:22" ht="15.75" thickBot="1" x14ac:dyDescent="0.3">
      <c r="B16" s="49" t="s">
        <v>134</v>
      </c>
      <c r="C16" s="50" t="s">
        <v>141</v>
      </c>
      <c r="D16" s="54">
        <f t="shared" si="0"/>
        <v>114.60525791999999</v>
      </c>
      <c r="E16" s="54">
        <f t="shared" si="1"/>
        <v>139.19042016901409</v>
      </c>
      <c r="H16" s="158">
        <v>113.17919999999999</v>
      </c>
      <c r="I16">
        <f>$H16*Escalators!E$24</f>
        <v>114.60525791999999</v>
      </c>
      <c r="J16">
        <f>$H16*Escalators!F$24</f>
        <v>115.017836848512</v>
      </c>
      <c r="K16">
        <f>$H16*Escalators!G$24</f>
        <v>115.9405830627377</v>
      </c>
      <c r="L16">
        <f>$H16*Escalators!H$24</f>
        <v>117.42419693402026</v>
      </c>
      <c r="M16">
        <f>$H16*Escalators!I$24</f>
        <v>119.16165189190482</v>
      </c>
      <c r="N16">
        <f>$H16*Escalators!J$24</f>
        <v>120.79198023848032</v>
      </c>
      <c r="P16" s="158">
        <f>+H16*P4/H4</f>
        <v>137.45844377741861</v>
      </c>
      <c r="Q16">
        <f>$P16*Escalators!E$24</f>
        <v>139.19042016901409</v>
      </c>
      <c r="R16">
        <f>$P16*Escalators!F$24</f>
        <v>139.69150568162254</v>
      </c>
      <c r="S16">
        <f>$P16*Escalators!G$24</f>
        <v>140.81219975446427</v>
      </c>
      <c r="T16">
        <f>$P16*Escalators!H$24</f>
        <v>142.61407902126498</v>
      </c>
      <c r="U16">
        <f>$P16*Escalators!I$24</f>
        <v>144.72425345830089</v>
      </c>
      <c r="V16">
        <f>$P16*Escalators!J$24</f>
        <v>146.7043204438113</v>
      </c>
    </row>
    <row r="17" spans="2:22" ht="26.25" thickBot="1" x14ac:dyDescent="0.3">
      <c r="B17" s="51" t="s">
        <v>134</v>
      </c>
      <c r="C17" s="52" t="s">
        <v>207</v>
      </c>
      <c r="D17" s="54">
        <f t="shared" si="0"/>
        <v>103.74269267999999</v>
      </c>
      <c r="E17" s="54">
        <f t="shared" si="1"/>
        <v>125.99761342253521</v>
      </c>
      <c r="H17" s="158">
        <v>102.45179999999999</v>
      </c>
      <c r="I17">
        <f>$H17*Escalators!E$24</f>
        <v>103.74269267999999</v>
      </c>
      <c r="J17">
        <f>$H17*Escalators!F$24</f>
        <v>104.116166373648</v>
      </c>
      <c r="K17">
        <f>$H17*Escalators!G$24</f>
        <v>104.95145245616676</v>
      </c>
      <c r="L17">
        <f>$H17*Escalators!H$24</f>
        <v>106.29444579432312</v>
      </c>
      <c r="M17">
        <f>$H17*Escalators!I$24</f>
        <v>107.86722054316566</v>
      </c>
      <c r="N17">
        <f>$H17*Escalators!J$24</f>
        <v>109.34302240161388</v>
      </c>
      <c r="P17" s="158">
        <f>+H17*P6/H6</f>
        <v>124.4297979681367</v>
      </c>
      <c r="Q17">
        <f>$P17*Escalators!E$24</f>
        <v>125.99761342253521</v>
      </c>
      <c r="R17">
        <f>$P17*Escalators!F$24</f>
        <v>126.45120483085635</v>
      </c>
      <c r="S17">
        <f>$P17*Escalators!G$24</f>
        <v>127.4656767922412</v>
      </c>
      <c r="T17">
        <f>$P17*Escalators!H$24</f>
        <v>129.09676955722287</v>
      </c>
      <c r="U17">
        <f>$P17*Escalators!I$24</f>
        <v>131.00693652596195</v>
      </c>
      <c r="V17">
        <f>$P17*Escalators!J$24</f>
        <v>132.79932794405039</v>
      </c>
    </row>
    <row r="18" spans="2:22" ht="15.75" thickTop="1" x14ac:dyDescent="0.25"/>
    <row r="20" spans="2:22" x14ac:dyDescent="0.25">
      <c r="H20" s="105" t="s">
        <v>205</v>
      </c>
    </row>
    <row r="21" spans="2:22" x14ac:dyDescent="0.25">
      <c r="H21" s="105"/>
    </row>
    <row r="22" spans="2:22" x14ac:dyDescent="0.25">
      <c r="H22" s="266" t="s">
        <v>206</v>
      </c>
      <c r="I22" s="266"/>
      <c r="J22" s="266"/>
      <c r="K22" s="266"/>
      <c r="L22" s="266"/>
      <c r="M22" s="266"/>
      <c r="N22" s="266"/>
      <c r="O22" s="266"/>
      <c r="P22" s="266"/>
      <c r="Q22" s="266"/>
    </row>
    <row r="23" spans="2:22" x14ac:dyDescent="0.25">
      <c r="H23" s="266"/>
      <c r="I23" s="266"/>
      <c r="J23" s="266"/>
      <c r="K23" s="266"/>
      <c r="L23" s="266"/>
      <c r="M23" s="266"/>
      <c r="N23" s="266"/>
      <c r="O23" s="266"/>
      <c r="P23" s="266"/>
      <c r="Q23" s="266"/>
    </row>
    <row r="24" spans="2:22" x14ac:dyDescent="0.25">
      <c r="H24" s="266"/>
      <c r="I24" s="266"/>
      <c r="J24" s="266"/>
      <c r="K24" s="266"/>
      <c r="L24" s="266"/>
      <c r="M24" s="266"/>
      <c r="N24" s="266"/>
      <c r="O24" s="266"/>
      <c r="P24" s="266"/>
      <c r="Q24" s="266"/>
    </row>
    <row r="25" spans="2:22" x14ac:dyDescent="0.25">
      <c r="H25" s="266"/>
      <c r="I25" s="266"/>
      <c r="J25" s="266"/>
      <c r="K25" s="266"/>
      <c r="L25" s="266"/>
      <c r="M25" s="266"/>
      <c r="N25" s="266"/>
      <c r="O25" s="266"/>
      <c r="P25" s="266"/>
      <c r="Q25" s="266"/>
    </row>
  </sheetData>
  <mergeCells count="1">
    <mergeCell ref="H22:Q25"/>
  </mergeCell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O77"/>
  <sheetViews>
    <sheetView zoomScale="93" zoomScaleNormal="93" workbookViewId="0">
      <selection activeCell="AP66" sqref="AP66"/>
    </sheetView>
  </sheetViews>
  <sheetFormatPr defaultColWidth="8.7109375" defaultRowHeight="12.75" x14ac:dyDescent="0.2"/>
  <cols>
    <col min="1" max="1" width="29.85546875" style="59" customWidth="1"/>
    <col min="2" max="5" width="30.140625" style="59" customWidth="1"/>
    <col min="6" max="6" width="14.85546875" style="59" customWidth="1"/>
    <col min="7" max="7" width="14.85546875" style="59" bestFit="1" customWidth="1"/>
    <col min="8" max="8" width="30.140625" style="59" customWidth="1"/>
    <col min="9" max="9" width="15.5703125" style="59" customWidth="1"/>
    <col min="10" max="12" width="11.140625" style="59" customWidth="1"/>
    <col min="13" max="13" width="26.140625" style="59" bestFit="1" customWidth="1"/>
    <col min="14" max="15" width="8.7109375" style="59"/>
    <col min="16" max="16" width="15.85546875" style="59" bestFit="1" customWidth="1"/>
    <col min="17" max="17" width="15.85546875" style="59" customWidth="1"/>
    <col min="18" max="18" width="10.42578125" style="59" bestFit="1" customWidth="1"/>
    <col min="19" max="19" width="8.7109375" style="59"/>
    <col min="20" max="20" width="15.85546875" style="59" bestFit="1" customWidth="1"/>
    <col min="21" max="21" width="10.42578125" style="59" bestFit="1" customWidth="1"/>
    <col min="22" max="22" width="8.7109375" style="59"/>
    <col min="23" max="23" width="22.42578125" style="59" bestFit="1" customWidth="1"/>
    <col min="24" max="30" width="8.7109375" style="59"/>
    <col min="31" max="31" width="10.42578125" style="59" bestFit="1" customWidth="1"/>
    <col min="32" max="38" width="8.7109375" style="59"/>
    <col min="39" max="39" width="13.140625" style="59" bestFit="1" customWidth="1"/>
    <col min="40" max="40" width="33.5703125" style="59" bestFit="1" customWidth="1"/>
    <col min="41" max="41" width="11.5703125" style="59" bestFit="1" customWidth="1"/>
    <col min="42" max="16384" width="8.7109375" style="59"/>
  </cols>
  <sheetData>
    <row r="1" spans="1:67" ht="13.5" thickBot="1" x14ac:dyDescent="0.25">
      <c r="A1" s="59" t="s">
        <v>204</v>
      </c>
      <c r="F1" s="73"/>
      <c r="G1" s="69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>
        <v>1</v>
      </c>
      <c r="AF1" s="70">
        <v>1</v>
      </c>
      <c r="AG1" s="70">
        <v>1</v>
      </c>
      <c r="AH1" s="70">
        <v>1</v>
      </c>
      <c r="AI1" s="71">
        <v>1</v>
      </c>
      <c r="AJ1" s="55"/>
      <c r="AK1" s="55"/>
      <c r="AL1" s="55"/>
      <c r="AM1" s="69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>
        <v>1</v>
      </c>
      <c r="BL1" s="70">
        <v>1</v>
      </c>
      <c r="BM1" s="70">
        <v>1</v>
      </c>
      <c r="BN1" s="70">
        <v>1</v>
      </c>
      <c r="BO1" s="71">
        <v>1</v>
      </c>
    </row>
    <row r="2" spans="1:67" ht="14.25" thickTop="1" thickBot="1" x14ac:dyDescent="0.25">
      <c r="A2" s="60" t="s">
        <v>72</v>
      </c>
      <c r="B2" s="61" t="s">
        <v>73</v>
      </c>
      <c r="C2" s="68" t="s">
        <v>74</v>
      </c>
      <c r="F2" s="73"/>
      <c r="G2" s="72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4"/>
      <c r="AJ2" s="55"/>
      <c r="AK2" s="55"/>
      <c r="AL2" s="55"/>
      <c r="AM2" s="72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4"/>
    </row>
    <row r="3" spans="1:67" ht="14.25" thickTop="1" thickBot="1" x14ac:dyDescent="0.25">
      <c r="A3" s="270" t="s">
        <v>75</v>
      </c>
      <c r="B3" s="271"/>
      <c r="C3" s="271"/>
      <c r="F3" s="76"/>
      <c r="G3" s="75"/>
      <c r="H3" s="76"/>
      <c r="I3" s="76"/>
      <c r="J3" s="274" t="s">
        <v>156</v>
      </c>
      <c r="K3" s="274"/>
      <c r="L3" s="274"/>
      <c r="M3" s="274" t="s">
        <v>150</v>
      </c>
      <c r="N3" s="274"/>
      <c r="O3" s="274"/>
      <c r="P3" s="77" t="s">
        <v>151</v>
      </c>
      <c r="Q3" s="77"/>
      <c r="R3" s="77" t="s">
        <v>153</v>
      </c>
      <c r="S3" s="77"/>
      <c r="T3" s="274" t="s">
        <v>149</v>
      </c>
      <c r="U3" s="274"/>
      <c r="V3" s="274"/>
      <c r="W3" s="76"/>
      <c r="X3" s="76"/>
      <c r="Y3" s="274" t="s">
        <v>154</v>
      </c>
      <c r="Z3" s="274"/>
      <c r="AA3" s="274"/>
      <c r="AB3" s="274"/>
      <c r="AC3" s="274"/>
      <c r="AD3" s="76"/>
      <c r="AE3" s="274" t="s">
        <v>155</v>
      </c>
      <c r="AF3" s="274"/>
      <c r="AG3" s="274"/>
      <c r="AH3" s="274"/>
      <c r="AI3" s="275"/>
      <c r="AJ3" s="55"/>
      <c r="AK3" s="55"/>
      <c r="AL3" s="55"/>
      <c r="AM3" s="75"/>
      <c r="AN3" s="76"/>
      <c r="AO3" s="76"/>
      <c r="AP3" s="274" t="s">
        <v>156</v>
      </c>
      <c r="AQ3" s="274"/>
      <c r="AR3" s="274"/>
      <c r="AS3" s="274" t="s">
        <v>150</v>
      </c>
      <c r="AT3" s="274"/>
      <c r="AU3" s="274"/>
      <c r="AV3" s="77" t="s">
        <v>151</v>
      </c>
      <c r="AW3" s="77"/>
      <c r="AX3" s="77" t="s">
        <v>153</v>
      </c>
      <c r="AY3" s="77"/>
      <c r="AZ3" s="274" t="s">
        <v>149</v>
      </c>
      <c r="BA3" s="274"/>
      <c r="BB3" s="274"/>
      <c r="BC3" s="76"/>
      <c r="BD3" s="76"/>
      <c r="BE3" s="274" t="s">
        <v>154</v>
      </c>
      <c r="BF3" s="274"/>
      <c r="BG3" s="274"/>
      <c r="BH3" s="274"/>
      <c r="BI3" s="274"/>
      <c r="BJ3" s="76"/>
      <c r="BK3" s="274" t="s">
        <v>155</v>
      </c>
      <c r="BL3" s="274"/>
      <c r="BM3" s="274"/>
      <c r="BN3" s="274"/>
      <c r="BO3" s="275"/>
    </row>
    <row r="4" spans="1:67" ht="13.5" thickBot="1" x14ac:dyDescent="0.25">
      <c r="A4" s="62" t="s">
        <v>76</v>
      </c>
      <c r="B4" s="67">
        <f>F5</f>
        <v>387.12115884733788</v>
      </c>
      <c r="C4" s="345">
        <f>AL5</f>
        <v>466.82579483784434</v>
      </c>
      <c r="E4" s="59" t="s">
        <v>175</v>
      </c>
      <c r="F4" s="76"/>
      <c r="G4" s="75" t="s">
        <v>175</v>
      </c>
      <c r="H4" s="76" t="s">
        <v>176</v>
      </c>
      <c r="I4" s="76" t="s">
        <v>164</v>
      </c>
      <c r="J4" s="265" t="s">
        <v>146</v>
      </c>
      <c r="K4" s="265" t="s">
        <v>147</v>
      </c>
      <c r="L4" s="265" t="s">
        <v>148</v>
      </c>
      <c r="M4" s="265" t="s">
        <v>146</v>
      </c>
      <c r="N4" s="265" t="s">
        <v>147</v>
      </c>
      <c r="O4" s="265" t="s">
        <v>148</v>
      </c>
      <c r="P4" s="265" t="s">
        <v>146</v>
      </c>
      <c r="Q4" s="265"/>
      <c r="R4" s="265" t="s">
        <v>147</v>
      </c>
      <c r="S4" s="265" t="s">
        <v>148</v>
      </c>
      <c r="T4" s="265" t="s">
        <v>146</v>
      </c>
      <c r="U4" s="265" t="s">
        <v>147</v>
      </c>
      <c r="V4" s="265" t="s">
        <v>148</v>
      </c>
      <c r="W4" s="76" t="s">
        <v>315</v>
      </c>
      <c r="X4" s="76"/>
      <c r="Y4" s="76">
        <v>2016</v>
      </c>
      <c r="Z4" s="76">
        <v>2017</v>
      </c>
      <c r="AA4" s="76">
        <v>2018</v>
      </c>
      <c r="AB4" s="76">
        <v>2019</v>
      </c>
      <c r="AC4" s="76">
        <v>2020</v>
      </c>
      <c r="AD4" s="76"/>
      <c r="AE4" s="76">
        <v>2016</v>
      </c>
      <c r="AF4" s="76">
        <v>2017</v>
      </c>
      <c r="AG4" s="76">
        <v>2018</v>
      </c>
      <c r="AH4" s="76">
        <v>2019</v>
      </c>
      <c r="AI4" s="78">
        <v>2020</v>
      </c>
      <c r="AJ4" s="55"/>
      <c r="AK4" s="55"/>
      <c r="AL4" s="55"/>
      <c r="AM4" s="75" t="s">
        <v>177</v>
      </c>
      <c r="AN4" s="76" t="str">
        <f>H4</f>
        <v>Tenix Service</v>
      </c>
      <c r="AO4" s="76" t="s">
        <v>174</v>
      </c>
      <c r="AP4" s="265" t="s">
        <v>146</v>
      </c>
      <c r="AQ4" s="265" t="s">
        <v>147</v>
      </c>
      <c r="AR4" s="265" t="s">
        <v>148</v>
      </c>
      <c r="AS4" s="265" t="s">
        <v>146</v>
      </c>
      <c r="AT4" s="265" t="s">
        <v>147</v>
      </c>
      <c r="AU4" s="265" t="s">
        <v>148</v>
      </c>
      <c r="AV4" s="265" t="s">
        <v>146</v>
      </c>
      <c r="AW4" s="265"/>
      <c r="AX4" s="265" t="s">
        <v>147</v>
      </c>
      <c r="AY4" s="265" t="s">
        <v>148</v>
      </c>
      <c r="AZ4" s="265" t="s">
        <v>146</v>
      </c>
      <c r="BA4" s="265" t="s">
        <v>147</v>
      </c>
      <c r="BB4" s="265" t="s">
        <v>148</v>
      </c>
      <c r="BC4" s="76" t="s">
        <v>315</v>
      </c>
      <c r="BD4" s="76"/>
      <c r="BE4" s="76">
        <v>2016</v>
      </c>
      <c r="BF4" s="76">
        <v>2017</v>
      </c>
      <c r="BG4" s="76">
        <v>2018</v>
      </c>
      <c r="BH4" s="76">
        <v>2019</v>
      </c>
      <c r="BI4" s="76">
        <v>2020</v>
      </c>
      <c r="BJ4" s="76"/>
      <c r="BK4" s="76">
        <v>2016</v>
      </c>
      <c r="BL4" s="76">
        <v>2017</v>
      </c>
      <c r="BM4" s="76">
        <v>2018</v>
      </c>
      <c r="BN4" s="76">
        <v>2019</v>
      </c>
      <c r="BO4" s="78">
        <v>2020</v>
      </c>
    </row>
    <row r="5" spans="1:67" ht="13.5" thickBot="1" x14ac:dyDescent="0.25">
      <c r="A5" s="62" t="s">
        <v>77</v>
      </c>
      <c r="B5" s="142">
        <f>F9</f>
        <v>201.06244316272739</v>
      </c>
      <c r="C5" s="104">
        <f>AL9</f>
        <v>257.18902172626377</v>
      </c>
      <c r="E5" s="79">
        <v>403.69159035706969</v>
      </c>
      <c r="F5" s="346">
        <v>387.12115884733788</v>
      </c>
      <c r="G5" s="79">
        <v>393.35510019487913</v>
      </c>
      <c r="H5" s="73" t="s">
        <v>165</v>
      </c>
      <c r="I5" s="295"/>
      <c r="J5" s="296"/>
      <c r="K5" s="296"/>
      <c r="L5" s="296"/>
      <c r="M5" s="73">
        <v>45</v>
      </c>
      <c r="N5" s="73">
        <v>45</v>
      </c>
      <c r="O5" s="73">
        <v>45</v>
      </c>
      <c r="P5" s="295"/>
      <c r="Q5" s="295"/>
      <c r="R5" s="295"/>
      <c r="S5" s="295"/>
      <c r="T5" s="88">
        <v>0.62108059655723491</v>
      </c>
      <c r="U5" s="88">
        <v>0.13906695051688653</v>
      </c>
      <c r="V5" s="88">
        <v>0.23985245292587853</v>
      </c>
      <c r="W5" s="295"/>
      <c r="X5" s="349">
        <v>125.61727907564638</v>
      </c>
      <c r="Y5" s="297"/>
      <c r="Z5" s="297"/>
      <c r="AA5" s="297"/>
      <c r="AB5" s="297"/>
      <c r="AC5" s="297"/>
      <c r="AD5" s="73"/>
      <c r="AE5" s="238">
        <v>92.919120000000021</v>
      </c>
      <c r="AF5" s="81">
        <v>92.919120000000021</v>
      </c>
      <c r="AG5" s="81">
        <v>92.919120000000021</v>
      </c>
      <c r="AH5" s="81">
        <v>92.919120000000021</v>
      </c>
      <c r="AI5" s="82">
        <v>92.919120000000021</v>
      </c>
      <c r="AJ5" s="55"/>
      <c r="AK5" s="55"/>
      <c r="AL5" s="348">
        <v>466.82579483784434</v>
      </c>
      <c r="AM5" s="79">
        <v>474.74862327753033</v>
      </c>
      <c r="AN5" s="73" t="str">
        <f>H5</f>
        <v>O/H New Connection, Single Phase</v>
      </c>
      <c r="AO5" s="295"/>
      <c r="AP5" s="296"/>
      <c r="AQ5" s="296"/>
      <c r="AR5" s="296"/>
      <c r="AS5" s="73">
        <v>45</v>
      </c>
      <c r="AT5" s="73">
        <v>45</v>
      </c>
      <c r="AU5" s="73">
        <v>45</v>
      </c>
      <c r="AV5" s="295"/>
      <c r="AW5" s="295"/>
      <c r="AX5" s="295"/>
      <c r="AY5" s="295"/>
      <c r="AZ5" s="88">
        <v>0.62108059655723491</v>
      </c>
      <c r="BA5" s="88">
        <v>0.13906695051688653</v>
      </c>
      <c r="BB5" s="88">
        <v>0.23985245292587853</v>
      </c>
      <c r="BC5" s="295"/>
      <c r="BD5" s="73"/>
      <c r="BE5" s="297"/>
      <c r="BF5" s="297"/>
      <c r="BG5" s="297"/>
      <c r="BH5" s="297"/>
      <c r="BI5" s="297"/>
      <c r="BJ5" s="73"/>
      <c r="BK5" s="238">
        <v>92.919120000000021</v>
      </c>
      <c r="BL5" s="81">
        <v>92.919120000000021</v>
      </c>
      <c r="BM5" s="81">
        <v>92.919120000000021</v>
      </c>
      <c r="BN5" s="81">
        <v>92.919120000000021</v>
      </c>
      <c r="BO5" s="82">
        <v>92.919120000000021</v>
      </c>
    </row>
    <row r="6" spans="1:67" x14ac:dyDescent="0.2">
      <c r="A6" s="141" t="s">
        <v>78</v>
      </c>
      <c r="B6" s="241">
        <f>F6</f>
        <v>413.73901242412239</v>
      </c>
      <c r="C6" s="242">
        <f>(C4/B4)*B6</f>
        <v>498.92401620569257</v>
      </c>
      <c r="E6" s="79">
        <v>430.0514406999875</v>
      </c>
      <c r="F6" s="346">
        <v>413.73901242412239</v>
      </c>
      <c r="G6" s="79">
        <v>419.87589069720747</v>
      </c>
      <c r="H6" s="73" t="s">
        <v>166</v>
      </c>
      <c r="I6" s="295"/>
      <c r="J6" s="298"/>
      <c r="K6" s="298"/>
      <c r="L6" s="298"/>
      <c r="M6" s="73">
        <v>60</v>
      </c>
      <c r="N6" s="73">
        <v>60</v>
      </c>
      <c r="O6" s="73">
        <v>60</v>
      </c>
      <c r="P6" s="295"/>
      <c r="Q6" s="295"/>
      <c r="R6" s="295"/>
      <c r="S6" s="295"/>
      <c r="T6" s="98">
        <v>0.62108059655723491</v>
      </c>
      <c r="U6" s="98">
        <v>0.13906695051688653</v>
      </c>
      <c r="V6" s="98">
        <v>0.23985245292587853</v>
      </c>
      <c r="W6" s="295"/>
      <c r="X6" s="349">
        <v>101.90574096078443</v>
      </c>
      <c r="Y6" s="297"/>
      <c r="Z6" s="297"/>
      <c r="AA6" s="297"/>
      <c r="AB6" s="297"/>
      <c r="AC6" s="297"/>
      <c r="AD6" s="73"/>
      <c r="AE6" s="238">
        <v>124.11772800000003</v>
      </c>
      <c r="AF6" s="238">
        <v>124.11772800000003</v>
      </c>
      <c r="AG6" s="81">
        <v>124.11772800000003</v>
      </c>
      <c r="AH6" s="81">
        <v>124.11772800000003</v>
      </c>
      <c r="AI6" s="82">
        <v>124.11772800000003</v>
      </c>
      <c r="AJ6" s="55"/>
      <c r="AK6" s="55"/>
      <c r="AL6" s="348">
        <v>124.11772800000003</v>
      </c>
      <c r="AM6" s="79">
        <v>124.11772800000003</v>
      </c>
      <c r="AN6" s="73" t="str">
        <f>H6</f>
        <v>O/H New Connection, Multi Phase</v>
      </c>
      <c r="AO6" s="295"/>
      <c r="AP6" s="298"/>
      <c r="AQ6" s="298"/>
      <c r="AR6" s="298"/>
      <c r="AS6" s="73">
        <v>60</v>
      </c>
      <c r="AT6" s="73">
        <v>60</v>
      </c>
      <c r="AU6" s="73">
        <v>60</v>
      </c>
      <c r="AV6" s="295"/>
      <c r="AW6" s="295"/>
      <c r="AX6" s="295"/>
      <c r="AY6" s="295"/>
      <c r="AZ6" s="98">
        <v>0.62108059655723491</v>
      </c>
      <c r="BA6" s="98">
        <v>0.13906695051688653</v>
      </c>
      <c r="BB6" s="98">
        <v>0.23985245292587853</v>
      </c>
      <c r="BC6" s="295"/>
      <c r="BD6" s="73"/>
      <c r="BE6" s="297"/>
      <c r="BF6" s="297"/>
      <c r="BG6" s="297"/>
      <c r="BH6" s="297"/>
      <c r="BI6" s="297"/>
      <c r="BJ6" s="73"/>
      <c r="BK6" s="238">
        <v>124.11772800000003</v>
      </c>
      <c r="BL6" s="238">
        <v>124.11772800000003</v>
      </c>
      <c r="BM6" s="81">
        <v>124.11772800000003</v>
      </c>
      <c r="BN6" s="81">
        <v>124.11772800000003</v>
      </c>
      <c r="BO6" s="82">
        <v>124.11772800000003</v>
      </c>
    </row>
    <row r="7" spans="1:67" ht="13.5" thickBot="1" x14ac:dyDescent="0.25">
      <c r="A7" s="62" t="s">
        <v>79</v>
      </c>
      <c r="B7" s="243"/>
      <c r="C7" s="244"/>
      <c r="E7" s="79">
        <v>578.3581886171595</v>
      </c>
      <c r="F7" s="346">
        <v>555.47102732616725</v>
      </c>
      <c r="G7" s="79">
        <v>564.08137769730683</v>
      </c>
      <c r="H7" s="59" t="s">
        <v>224</v>
      </c>
      <c r="I7" s="295"/>
      <c r="J7" s="298"/>
      <c r="K7" s="298"/>
      <c r="L7" s="298"/>
      <c r="M7" s="73">
        <v>60</v>
      </c>
      <c r="N7" s="73">
        <v>60</v>
      </c>
      <c r="O7" s="73">
        <v>60</v>
      </c>
      <c r="P7" s="295"/>
      <c r="Q7" s="295"/>
      <c r="R7" s="295"/>
      <c r="S7" s="295"/>
      <c r="T7" s="140">
        <v>0.62108059655723491</v>
      </c>
      <c r="U7" s="140">
        <v>0.13906695051688653</v>
      </c>
      <c r="V7" s="140">
        <v>0.23985245292587853</v>
      </c>
      <c r="W7" s="295"/>
      <c r="X7" s="349">
        <v>142.97890482058611</v>
      </c>
      <c r="Y7" s="297"/>
      <c r="Z7" s="297"/>
      <c r="AA7" s="297"/>
      <c r="AB7" s="297"/>
      <c r="AC7" s="297"/>
      <c r="AE7" s="238">
        <v>149.11772800000003</v>
      </c>
      <c r="AF7" s="81">
        <v>149.11772800000003</v>
      </c>
      <c r="AG7" s="81">
        <v>149.11772800000003</v>
      </c>
      <c r="AH7" s="81">
        <v>149.11772800000003</v>
      </c>
      <c r="AI7" s="82">
        <v>149.11772800000003</v>
      </c>
      <c r="AL7" s="348">
        <v>149.11772800000003</v>
      </c>
      <c r="AM7" s="79">
        <v>149.11772800000003</v>
      </c>
      <c r="AN7" s="59" t="str">
        <f>H7</f>
        <v>O/H New Connection, Multi Phase CT Metered</v>
      </c>
      <c r="AO7" s="295"/>
      <c r="AP7" s="298"/>
      <c r="AQ7" s="298"/>
      <c r="AR7" s="298"/>
      <c r="AS7" s="73">
        <v>60</v>
      </c>
      <c r="AT7" s="73">
        <v>60</v>
      </c>
      <c r="AU7" s="73">
        <v>60</v>
      </c>
      <c r="AV7" s="295"/>
      <c r="AW7" s="295"/>
      <c r="AX7" s="295"/>
      <c r="AY7" s="295"/>
      <c r="AZ7" s="140">
        <v>0.62108059655723491</v>
      </c>
      <c r="BA7" s="140">
        <v>0.13906695051688653</v>
      </c>
      <c r="BB7" s="140">
        <v>0.23985245292587853</v>
      </c>
      <c r="BC7" s="295"/>
      <c r="BE7" s="297"/>
      <c r="BF7" s="297"/>
      <c r="BG7" s="297"/>
      <c r="BH7" s="297"/>
      <c r="BI7" s="297"/>
      <c r="BK7" s="238">
        <v>149.11772800000003</v>
      </c>
      <c r="BL7" s="81">
        <v>149.11772800000003</v>
      </c>
      <c r="BM7" s="81">
        <v>149.11772800000003</v>
      </c>
      <c r="BN7" s="81">
        <v>149.11772800000003</v>
      </c>
      <c r="BO7" s="82">
        <v>149.11772800000003</v>
      </c>
    </row>
    <row r="8" spans="1:67" x14ac:dyDescent="0.2">
      <c r="A8" s="65" t="s">
        <v>78</v>
      </c>
      <c r="B8" s="241">
        <f>F7</f>
        <v>555.47102732616725</v>
      </c>
      <c r="C8" s="242">
        <f>(C6/B6)*B8</f>
        <v>669.83733106458988</v>
      </c>
      <c r="E8" s="79">
        <v>907.0402771858013</v>
      </c>
      <c r="F8" s="346">
        <v>858.67676296458887</v>
      </c>
      <c r="G8" s="106">
        <v>876.87154026045744</v>
      </c>
      <c r="H8" s="107" t="s">
        <v>167</v>
      </c>
      <c r="I8" s="295"/>
      <c r="J8" s="298"/>
      <c r="K8" s="298"/>
      <c r="L8" s="298"/>
      <c r="M8" s="107"/>
      <c r="N8" s="107"/>
      <c r="O8" s="107"/>
      <c r="P8" s="295"/>
      <c r="Q8" s="295"/>
      <c r="R8" s="295"/>
      <c r="S8" s="295"/>
      <c r="T8" s="108">
        <v>0.62108059655723491</v>
      </c>
      <c r="U8" s="108">
        <v>0.13906695051688653</v>
      </c>
      <c r="V8" s="108">
        <v>0.23985245292587853</v>
      </c>
      <c r="W8" s="295"/>
      <c r="X8" s="349"/>
      <c r="Y8" s="297"/>
      <c r="Z8" s="297"/>
      <c r="AA8" s="297"/>
      <c r="AB8" s="297"/>
      <c r="AC8" s="297"/>
      <c r="AD8" s="107"/>
      <c r="AE8" s="109"/>
      <c r="AF8" s="109"/>
      <c r="AG8" s="109"/>
      <c r="AH8" s="109"/>
      <c r="AI8" s="110"/>
      <c r="AJ8" s="55"/>
      <c r="AK8" s="55"/>
      <c r="AL8" s="348">
        <v>1058.6171385861319</v>
      </c>
      <c r="AM8" s="106">
        <v>1081.048516619077</v>
      </c>
      <c r="AN8" s="107" t="str">
        <f t="shared" ref="AN8:AN24" si="0">H8</f>
        <v>O/H New Connection - Midpan service</v>
      </c>
      <c r="AO8" s="295"/>
      <c r="AP8" s="298"/>
      <c r="AQ8" s="298"/>
      <c r="AR8" s="298"/>
      <c r="AS8" s="107">
        <v>0</v>
      </c>
      <c r="AT8" s="107">
        <v>0</v>
      </c>
      <c r="AU8" s="107">
        <v>0</v>
      </c>
      <c r="AV8" s="295"/>
      <c r="AW8" s="295"/>
      <c r="AX8" s="295"/>
      <c r="AY8" s="295"/>
      <c r="AZ8" s="108">
        <v>0.62108059655723491</v>
      </c>
      <c r="BA8" s="108">
        <v>0.13906695051688653</v>
      </c>
      <c r="BB8" s="108">
        <v>0.23985245292587853</v>
      </c>
      <c r="BC8" s="295"/>
      <c r="BD8" s="107"/>
      <c r="BE8" s="297"/>
      <c r="BF8" s="297"/>
      <c r="BG8" s="297"/>
      <c r="BH8" s="297"/>
      <c r="BI8" s="297"/>
      <c r="BJ8" s="107"/>
      <c r="BK8" s="109">
        <v>0</v>
      </c>
      <c r="BL8" s="109">
        <v>0</v>
      </c>
      <c r="BM8" s="109">
        <v>0</v>
      </c>
      <c r="BN8" s="109">
        <v>0</v>
      </c>
      <c r="BO8" s="110">
        <v>0</v>
      </c>
    </row>
    <row r="9" spans="1:67" ht="13.5" thickBot="1" x14ac:dyDescent="0.25">
      <c r="A9" s="62" t="s">
        <v>80</v>
      </c>
      <c r="B9" s="243"/>
      <c r="C9" s="244"/>
      <c r="E9" s="79">
        <v>210.3043269298862</v>
      </c>
      <c r="F9" s="346">
        <v>201.06244316272739</v>
      </c>
      <c r="G9" s="79">
        <v>204.53932071485545</v>
      </c>
      <c r="H9" s="73" t="s">
        <v>168</v>
      </c>
      <c r="I9" s="295"/>
      <c r="J9" s="298"/>
      <c r="K9" s="298"/>
      <c r="L9" s="298"/>
      <c r="M9" s="73">
        <v>30</v>
      </c>
      <c r="N9" s="73">
        <v>30</v>
      </c>
      <c r="O9" s="73">
        <v>30</v>
      </c>
      <c r="P9" s="295"/>
      <c r="Q9" s="295"/>
      <c r="R9" s="295"/>
      <c r="S9" s="295"/>
      <c r="T9" s="83">
        <v>0.62108059655723491</v>
      </c>
      <c r="U9" s="83">
        <v>0.13906695051688653</v>
      </c>
      <c r="V9" s="83">
        <v>0.23985245292587853</v>
      </c>
      <c r="W9" s="295"/>
      <c r="X9" s="349">
        <v>89.078065778012231</v>
      </c>
      <c r="Y9" s="297"/>
      <c r="Z9" s="297"/>
      <c r="AA9" s="297"/>
      <c r="AB9" s="297"/>
      <c r="AC9" s="297"/>
      <c r="AD9" s="73"/>
      <c r="AE9" s="239">
        <v>36.976128000000003</v>
      </c>
      <c r="AF9" s="239">
        <v>36.976128000000003</v>
      </c>
      <c r="AG9" s="80">
        <v>36.976128000000003</v>
      </c>
      <c r="AH9" s="80">
        <v>36.976128000000003</v>
      </c>
      <c r="AI9" s="97">
        <v>36.976128000000003</v>
      </c>
      <c r="AJ9" s="55"/>
      <c r="AK9" s="55"/>
      <c r="AL9" s="348">
        <v>257.18902172626377</v>
      </c>
      <c r="AM9" s="79">
        <v>261.85518335056912</v>
      </c>
      <c r="AN9" s="73" t="str">
        <f t="shared" si="0"/>
        <v>U/G New Connection, Single Phase</v>
      </c>
      <c r="AO9" s="295"/>
      <c r="AP9" s="298"/>
      <c r="AQ9" s="298"/>
      <c r="AR9" s="298"/>
      <c r="AS9" s="73">
        <v>30</v>
      </c>
      <c r="AT9" s="73">
        <v>30</v>
      </c>
      <c r="AU9" s="73">
        <v>30</v>
      </c>
      <c r="AV9" s="295"/>
      <c r="AW9" s="295"/>
      <c r="AX9" s="295"/>
      <c r="AY9" s="295"/>
      <c r="AZ9" s="83">
        <v>0.62108059655723491</v>
      </c>
      <c r="BA9" s="83">
        <v>0.13906695051688653</v>
      </c>
      <c r="BB9" s="83">
        <v>0.23985245292587853</v>
      </c>
      <c r="BC9" s="295"/>
      <c r="BD9" s="73"/>
      <c r="BE9" s="297"/>
      <c r="BF9" s="297"/>
      <c r="BG9" s="297"/>
      <c r="BH9" s="297"/>
      <c r="BI9" s="297"/>
      <c r="BJ9" s="73"/>
      <c r="BK9" s="239">
        <v>36.976128000000003</v>
      </c>
      <c r="BL9" s="239">
        <v>36.976128000000003</v>
      </c>
      <c r="BM9" s="80">
        <v>36.976128000000003</v>
      </c>
      <c r="BN9" s="80">
        <v>36.976128000000003</v>
      </c>
      <c r="BO9" s="97">
        <v>36.976128000000003</v>
      </c>
    </row>
    <row r="10" spans="1:67" x14ac:dyDescent="0.2">
      <c r="A10" s="65" t="s">
        <v>81</v>
      </c>
      <c r="B10" s="241">
        <f>F10</f>
        <v>300.88189973696342</v>
      </c>
      <c r="C10" s="245">
        <f>AL10</f>
        <v>372.62732869939271</v>
      </c>
      <c r="E10" s="79">
        <v>313.22609286843863</v>
      </c>
      <c r="F10" s="346">
        <v>300.88189973696342</v>
      </c>
      <c r="G10" s="79">
        <v>305.52589322133008</v>
      </c>
      <c r="H10" s="73" t="s">
        <v>169</v>
      </c>
      <c r="I10" s="295"/>
      <c r="J10" s="298"/>
      <c r="K10" s="298"/>
      <c r="L10" s="298"/>
      <c r="M10" s="73">
        <v>45</v>
      </c>
      <c r="N10" s="73">
        <v>45</v>
      </c>
      <c r="O10" s="73">
        <v>45</v>
      </c>
      <c r="P10" s="295"/>
      <c r="Q10" s="295"/>
      <c r="R10" s="295"/>
      <c r="S10" s="295"/>
      <c r="T10" s="83">
        <v>0.62108059655723491</v>
      </c>
      <c r="U10" s="83">
        <v>0.13906695051688653</v>
      </c>
      <c r="V10" s="83">
        <v>0.23985245292587853</v>
      </c>
      <c r="W10" s="295"/>
      <c r="X10" s="349">
        <v>93.578972439523085</v>
      </c>
      <c r="Y10" s="297"/>
      <c r="Z10" s="297"/>
      <c r="AA10" s="297"/>
      <c r="AB10" s="297"/>
      <c r="AC10" s="297"/>
      <c r="AD10" s="73"/>
      <c r="AE10" s="239">
        <v>81.71520000000001</v>
      </c>
      <c r="AF10" s="80">
        <v>81.71520000000001</v>
      </c>
      <c r="AG10" s="80">
        <v>81.71520000000001</v>
      </c>
      <c r="AH10" s="80">
        <v>81.71520000000001</v>
      </c>
      <c r="AI10" s="97">
        <v>81.71520000000001</v>
      </c>
      <c r="AJ10" s="55"/>
      <c r="AK10" s="55"/>
      <c r="AL10" s="348">
        <v>372.62732869939271</v>
      </c>
      <c r="AM10" s="79">
        <v>378.79155908578178</v>
      </c>
      <c r="AN10" s="73" t="str">
        <f t="shared" si="0"/>
        <v>U/G New Conection, Multi Phase</v>
      </c>
      <c r="AO10" s="295"/>
      <c r="AP10" s="298"/>
      <c r="AQ10" s="298"/>
      <c r="AR10" s="298"/>
      <c r="AS10" s="73">
        <v>45</v>
      </c>
      <c r="AT10" s="73">
        <v>45</v>
      </c>
      <c r="AU10" s="73">
        <v>45</v>
      </c>
      <c r="AV10" s="295"/>
      <c r="AW10" s="295"/>
      <c r="AX10" s="295"/>
      <c r="AY10" s="295"/>
      <c r="AZ10" s="83">
        <v>0.62108059655723491</v>
      </c>
      <c r="BA10" s="83">
        <v>0.13906695051688653</v>
      </c>
      <c r="BB10" s="83">
        <v>0.23985245292587853</v>
      </c>
      <c r="BC10" s="295"/>
      <c r="BD10" s="73"/>
      <c r="BE10" s="297"/>
      <c r="BF10" s="297"/>
      <c r="BG10" s="297"/>
      <c r="BH10" s="297"/>
      <c r="BI10" s="297"/>
      <c r="BJ10" s="73"/>
      <c r="BK10" s="239">
        <v>81.71520000000001</v>
      </c>
      <c r="BL10" s="80">
        <v>81.71520000000001</v>
      </c>
      <c r="BM10" s="80">
        <v>81.71520000000001</v>
      </c>
      <c r="BN10" s="80">
        <v>81.71520000000001</v>
      </c>
      <c r="BO10" s="97">
        <v>81.71520000000001</v>
      </c>
    </row>
    <row r="11" spans="1:67" ht="13.5" thickBot="1" x14ac:dyDescent="0.25">
      <c r="A11" s="62" t="s">
        <v>79</v>
      </c>
      <c r="B11" s="243"/>
      <c r="C11" s="244"/>
      <c r="E11" s="79">
        <v>452.53018342339436</v>
      </c>
      <c r="F11" s="346">
        <v>434.09128022430332</v>
      </c>
      <c r="G11" s="79">
        <v>441.02815697302384</v>
      </c>
      <c r="H11" s="59" t="s">
        <v>229</v>
      </c>
      <c r="I11" s="295"/>
      <c r="J11" s="298"/>
      <c r="K11" s="298"/>
      <c r="L11" s="298"/>
      <c r="M11" s="73">
        <v>60</v>
      </c>
      <c r="N11" s="73">
        <v>60</v>
      </c>
      <c r="O11" s="73">
        <v>60</v>
      </c>
      <c r="P11" s="295"/>
      <c r="Q11" s="295"/>
      <c r="R11" s="295"/>
      <c r="S11" s="295"/>
      <c r="T11" s="140">
        <v>0.62108059655723491</v>
      </c>
      <c r="U11" s="140">
        <v>0.13906695051688653</v>
      </c>
      <c r="V11" s="140">
        <v>0.23985245292587853</v>
      </c>
      <c r="W11" s="295"/>
      <c r="X11" s="349">
        <v>115.19009072289087</v>
      </c>
      <c r="Y11" s="297"/>
      <c r="Z11" s="297"/>
      <c r="AA11" s="297"/>
      <c r="AB11" s="297"/>
      <c r="AC11" s="297"/>
      <c r="AE11" s="238">
        <v>106.71520000000001</v>
      </c>
      <c r="AF11" s="81">
        <v>106.71520000000001</v>
      </c>
      <c r="AG11" s="81">
        <v>106.71520000000001</v>
      </c>
      <c r="AH11" s="81">
        <v>106.71520000000001</v>
      </c>
      <c r="AI11" s="82">
        <v>106.71520000000001</v>
      </c>
      <c r="AL11" s="348">
        <v>106.71520000000001</v>
      </c>
      <c r="AM11" s="79">
        <v>106.71520000000001</v>
      </c>
      <c r="AN11" s="59" t="str">
        <f>H11</f>
        <v>U/G New Connection, Multi Phase CT Metered</v>
      </c>
      <c r="AO11" s="295"/>
      <c r="AP11" s="298"/>
      <c r="AQ11" s="298"/>
      <c r="AR11" s="298"/>
      <c r="AS11" s="73">
        <v>60</v>
      </c>
      <c r="AT11" s="73">
        <v>60</v>
      </c>
      <c r="AU11" s="73">
        <v>60</v>
      </c>
      <c r="AV11" s="295"/>
      <c r="AW11" s="295"/>
      <c r="AX11" s="295"/>
      <c r="AY11" s="295"/>
      <c r="AZ11" s="140">
        <v>0.62108059655723491</v>
      </c>
      <c r="BA11" s="140">
        <v>0.13906695051688653</v>
      </c>
      <c r="BB11" s="140">
        <v>0.23985245292587853</v>
      </c>
      <c r="BC11" s="295"/>
      <c r="BE11" s="297"/>
      <c r="BF11" s="297"/>
      <c r="BG11" s="297"/>
      <c r="BH11" s="297"/>
      <c r="BI11" s="297"/>
      <c r="BK11" s="238">
        <v>106.71520000000001</v>
      </c>
      <c r="BL11" s="81">
        <v>106.71520000000001</v>
      </c>
      <c r="BM11" s="81">
        <v>106.71520000000001</v>
      </c>
      <c r="BN11" s="81">
        <v>106.71520000000001</v>
      </c>
      <c r="BO11" s="82">
        <v>106.71520000000001</v>
      </c>
    </row>
    <row r="12" spans="1:67" x14ac:dyDescent="0.2">
      <c r="A12" s="65" t="s">
        <v>81</v>
      </c>
      <c r="B12" s="241">
        <f>+F11</f>
        <v>434.09128022430332</v>
      </c>
      <c r="C12" s="242">
        <f>(C10/B10)*B12</f>
        <v>537.60054793289419</v>
      </c>
      <c r="E12" s="79">
        <v>709.41375811350986</v>
      </c>
      <c r="F12" s="346">
        <v>637.98329545318131</v>
      </c>
      <c r="G12" s="79">
        <v>648.87175775131766</v>
      </c>
      <c r="H12" s="73" t="s">
        <v>170</v>
      </c>
      <c r="I12" s="295"/>
      <c r="J12" s="298"/>
      <c r="K12" s="298"/>
      <c r="L12" s="298"/>
      <c r="M12" s="73">
        <v>60</v>
      </c>
      <c r="N12" s="73">
        <v>60</v>
      </c>
      <c r="O12" s="73">
        <v>60</v>
      </c>
      <c r="P12" s="295"/>
      <c r="Q12" s="295"/>
      <c r="R12" s="295"/>
      <c r="S12" s="295"/>
      <c r="T12" s="83">
        <v>0.62108059655723491</v>
      </c>
      <c r="U12" s="83">
        <v>0.13906695051688653</v>
      </c>
      <c r="V12" s="83">
        <v>0.23985245292587853</v>
      </c>
      <c r="W12" s="295"/>
      <c r="X12" s="73"/>
      <c r="Y12" s="297"/>
      <c r="Z12" s="297"/>
      <c r="AA12" s="297"/>
      <c r="AB12" s="297"/>
      <c r="AC12" s="297"/>
      <c r="AD12" s="73"/>
      <c r="AE12" s="239">
        <v>124.11772800000003</v>
      </c>
      <c r="AF12" s="80">
        <v>124.11772800000003</v>
      </c>
      <c r="AG12" s="80">
        <v>124.11772800000003</v>
      </c>
      <c r="AH12" s="80">
        <v>124.11772800000003</v>
      </c>
      <c r="AI12" s="97">
        <v>124.11772800000003</v>
      </c>
      <c r="AJ12" s="55"/>
      <c r="AK12" s="55"/>
      <c r="AL12" s="348">
        <v>799.20875895453594</v>
      </c>
      <c r="AM12" s="79">
        <v>813.51347930151326</v>
      </c>
      <c r="AN12" s="73" t="str">
        <f t="shared" si="0"/>
        <v>Install 95mm LVABC Overhead Service</v>
      </c>
      <c r="AO12" s="295"/>
      <c r="AP12" s="298"/>
      <c r="AQ12" s="298"/>
      <c r="AR12" s="298"/>
      <c r="AS12" s="73">
        <v>60</v>
      </c>
      <c r="AT12" s="73">
        <v>60</v>
      </c>
      <c r="AU12" s="73">
        <v>60</v>
      </c>
      <c r="AV12" s="295"/>
      <c r="AW12" s="295"/>
      <c r="AX12" s="295"/>
      <c r="AY12" s="295"/>
      <c r="AZ12" s="83">
        <v>0.62108059655723491</v>
      </c>
      <c r="BA12" s="83">
        <v>0.13906695051688653</v>
      </c>
      <c r="BB12" s="83">
        <v>0.23985245292587853</v>
      </c>
      <c r="BC12" s="295"/>
      <c r="BD12" s="73"/>
      <c r="BE12" s="297"/>
      <c r="BF12" s="297"/>
      <c r="BG12" s="297"/>
      <c r="BH12" s="297"/>
      <c r="BI12" s="297"/>
      <c r="BJ12" s="73"/>
      <c r="BK12" s="239">
        <v>124.11772800000003</v>
      </c>
      <c r="BL12" s="80">
        <v>124.11772800000003</v>
      </c>
      <c r="BM12" s="80">
        <v>124.11772800000003</v>
      </c>
      <c r="BN12" s="80">
        <v>124.11772800000003</v>
      </c>
      <c r="BO12" s="97">
        <v>124.11772800000003</v>
      </c>
    </row>
    <row r="13" spans="1:67" ht="13.5" thickBot="1" x14ac:dyDescent="0.25">
      <c r="A13" s="62" t="s">
        <v>80</v>
      </c>
      <c r="B13" s="243"/>
      <c r="C13" s="244"/>
      <c r="E13" s="79">
        <v>0</v>
      </c>
      <c r="F13" s="346"/>
      <c r="G13" s="79">
        <v>0</v>
      </c>
      <c r="H13" s="73" t="s">
        <v>171</v>
      </c>
      <c r="I13" s="295"/>
      <c r="J13" s="298"/>
      <c r="K13" s="298"/>
      <c r="L13" s="298"/>
      <c r="M13" s="73"/>
      <c r="N13" s="73"/>
      <c r="O13" s="73"/>
      <c r="P13" s="295"/>
      <c r="Q13" s="295"/>
      <c r="R13" s="295"/>
      <c r="S13" s="295"/>
      <c r="T13" s="83">
        <v>0.62108059655723491</v>
      </c>
      <c r="U13" s="83">
        <v>0.13906695051688653</v>
      </c>
      <c r="V13" s="83">
        <v>0.23985245292587853</v>
      </c>
      <c r="W13" s="295"/>
      <c r="X13" s="73"/>
      <c r="Y13" s="297"/>
      <c r="Z13" s="297"/>
      <c r="AA13" s="297"/>
      <c r="AB13" s="297"/>
      <c r="AC13" s="297"/>
      <c r="AD13" s="73"/>
      <c r="AE13" s="73"/>
      <c r="AF13" s="73"/>
      <c r="AG13" s="73"/>
      <c r="AH13" s="73"/>
      <c r="AI13" s="74"/>
      <c r="AJ13" s="55"/>
      <c r="AK13" s="55"/>
      <c r="AL13" s="348">
        <v>129.35618029958968</v>
      </c>
      <c r="AM13" s="79">
        <v>132.09714988664291</v>
      </c>
      <c r="AN13" s="73" t="str">
        <f t="shared" si="0"/>
        <v>Priorty Customer Connection</v>
      </c>
      <c r="AO13" s="295"/>
      <c r="AP13" s="298"/>
      <c r="AQ13" s="298"/>
      <c r="AR13" s="298"/>
      <c r="AS13" s="73">
        <v>0</v>
      </c>
      <c r="AT13" s="73">
        <v>0</v>
      </c>
      <c r="AU13" s="73">
        <v>0</v>
      </c>
      <c r="AV13" s="295"/>
      <c r="AW13" s="295"/>
      <c r="AX13" s="295"/>
      <c r="AY13" s="295"/>
      <c r="AZ13" s="83">
        <v>0.62108059655723491</v>
      </c>
      <c r="BA13" s="83">
        <v>0.13906695051688653</v>
      </c>
      <c r="BB13" s="83">
        <v>0.23985245292587853</v>
      </c>
      <c r="BC13" s="295"/>
      <c r="BD13" s="73"/>
      <c r="BE13" s="297"/>
      <c r="BF13" s="297"/>
      <c r="BG13" s="297"/>
      <c r="BH13" s="297"/>
      <c r="BI13" s="297"/>
      <c r="BJ13" s="73"/>
      <c r="BK13" s="73">
        <v>0</v>
      </c>
      <c r="BL13" s="73">
        <v>0</v>
      </c>
      <c r="BM13" s="73">
        <v>0</v>
      </c>
      <c r="BN13" s="73">
        <v>0</v>
      </c>
      <c r="BO13" s="74">
        <v>0</v>
      </c>
    </row>
    <row r="14" spans="1:67" ht="13.5" thickBot="1" x14ac:dyDescent="0.25">
      <c r="A14" s="272" t="s">
        <v>82</v>
      </c>
      <c r="B14" s="273"/>
      <c r="C14" s="273"/>
      <c r="E14" s="79">
        <v>0</v>
      </c>
      <c r="F14" s="346"/>
      <c r="G14" s="79">
        <v>0</v>
      </c>
      <c r="H14" s="73" t="s">
        <v>172</v>
      </c>
      <c r="I14" s="295"/>
      <c r="J14" s="298"/>
      <c r="K14" s="298"/>
      <c r="L14" s="298"/>
      <c r="M14" s="73"/>
      <c r="N14" s="73"/>
      <c r="O14" s="73"/>
      <c r="P14" s="295"/>
      <c r="Q14" s="295"/>
      <c r="R14" s="295"/>
      <c r="S14" s="295"/>
      <c r="T14" s="83">
        <v>0.62108059655723491</v>
      </c>
      <c r="U14" s="83">
        <v>0.13906695051688653</v>
      </c>
      <c r="V14" s="83">
        <v>0.23985245292587853</v>
      </c>
      <c r="W14" s="295"/>
      <c r="X14" s="73"/>
      <c r="Y14" s="297"/>
      <c r="Z14" s="297"/>
      <c r="AA14" s="297"/>
      <c r="AB14" s="297"/>
      <c r="AC14" s="297"/>
      <c r="AD14" s="73"/>
      <c r="AE14" s="73"/>
      <c r="AF14" s="73"/>
      <c r="AG14" s="73"/>
      <c r="AH14" s="73"/>
      <c r="AI14" s="74"/>
      <c r="AJ14" s="55"/>
      <c r="AK14" s="55"/>
      <c r="AL14" s="348">
        <v>260.21018632856766</v>
      </c>
      <c r="AM14" s="79">
        <v>265.72386341238553</v>
      </c>
      <c r="AN14" s="73" t="str">
        <f t="shared" si="0"/>
        <v>New Connection Single/MultiPhase - Meter Install Only</v>
      </c>
      <c r="AO14" s="295"/>
      <c r="AP14" s="298"/>
      <c r="AQ14" s="298"/>
      <c r="AR14" s="298"/>
      <c r="AS14" s="73">
        <v>0</v>
      </c>
      <c r="AT14" s="73">
        <v>0</v>
      </c>
      <c r="AU14" s="73">
        <v>0</v>
      </c>
      <c r="AV14" s="295"/>
      <c r="AW14" s="295"/>
      <c r="AX14" s="295"/>
      <c r="AY14" s="295"/>
      <c r="AZ14" s="83">
        <v>0.62108059655723491</v>
      </c>
      <c r="BA14" s="83">
        <v>0.13906695051688653</v>
      </c>
      <c r="BB14" s="83">
        <v>0.23985245292587853</v>
      </c>
      <c r="BC14" s="295"/>
      <c r="BD14" s="73"/>
      <c r="BE14" s="297"/>
      <c r="BF14" s="297"/>
      <c r="BG14" s="297"/>
      <c r="BH14" s="297"/>
      <c r="BI14" s="297"/>
      <c r="BJ14" s="73"/>
      <c r="BK14" s="73">
        <v>0</v>
      </c>
      <c r="BL14" s="73">
        <v>0</v>
      </c>
      <c r="BM14" s="73">
        <v>0</v>
      </c>
      <c r="BN14" s="73">
        <v>0</v>
      </c>
      <c r="BO14" s="74">
        <v>0</v>
      </c>
    </row>
    <row r="15" spans="1:67" ht="13.5" thickBot="1" x14ac:dyDescent="0.25">
      <c r="A15" s="143" t="s">
        <v>76</v>
      </c>
      <c r="B15" s="144">
        <f>B4</f>
        <v>387.12115884733788</v>
      </c>
      <c r="C15" s="145">
        <f>C4</f>
        <v>466.82579483784434</v>
      </c>
      <c r="E15" s="79">
        <v>196.50353089816463</v>
      </c>
      <c r="F15" s="346">
        <v>186.02593519469943</v>
      </c>
      <c r="G15" s="79">
        <v>189.96769839140867</v>
      </c>
      <c r="H15" s="73" t="s">
        <v>173</v>
      </c>
      <c r="I15" s="295"/>
      <c r="J15" s="298"/>
      <c r="K15" s="298"/>
      <c r="L15" s="298"/>
      <c r="M15" s="73"/>
      <c r="N15" s="73"/>
      <c r="O15" s="73"/>
      <c r="P15" s="295"/>
      <c r="Q15" s="295"/>
      <c r="R15" s="295"/>
      <c r="S15" s="295"/>
      <c r="T15" s="83">
        <v>0.62108059655723491</v>
      </c>
      <c r="U15" s="83">
        <v>0.13906695051688653</v>
      </c>
      <c r="V15" s="83">
        <v>0.23985245292587853</v>
      </c>
      <c r="W15" s="295"/>
      <c r="X15" s="73"/>
      <c r="Y15" s="297"/>
      <c r="Z15" s="297"/>
      <c r="AA15" s="297"/>
      <c r="AB15" s="297"/>
      <c r="AC15" s="297"/>
      <c r="AD15" s="73"/>
      <c r="AE15" s="73"/>
      <c r="AF15" s="73"/>
      <c r="AG15" s="73"/>
      <c r="AH15" s="73"/>
      <c r="AI15" s="74"/>
      <c r="AJ15" s="55"/>
      <c r="AK15" s="55"/>
      <c r="AL15" s="348">
        <v>0</v>
      </c>
      <c r="AM15" s="79">
        <v>0</v>
      </c>
      <c r="AN15" s="73" t="str">
        <f t="shared" si="0"/>
        <v>Install Dummy Meter</v>
      </c>
      <c r="AO15" s="295"/>
      <c r="AP15" s="298"/>
      <c r="AQ15" s="298"/>
      <c r="AR15" s="298"/>
      <c r="AS15" s="73">
        <v>0</v>
      </c>
      <c r="AT15" s="73">
        <v>0</v>
      </c>
      <c r="AU15" s="73">
        <v>0</v>
      </c>
      <c r="AV15" s="295"/>
      <c r="AW15" s="295"/>
      <c r="AX15" s="295"/>
      <c r="AY15" s="295"/>
      <c r="AZ15" s="83">
        <v>0.62108059655723491</v>
      </c>
      <c r="BA15" s="83">
        <v>0.13906695051688653</v>
      </c>
      <c r="BB15" s="83">
        <v>0.23985245292587853</v>
      </c>
      <c r="BC15" s="295"/>
      <c r="BD15" s="73"/>
      <c r="BE15" s="297"/>
      <c r="BF15" s="297"/>
      <c r="BG15" s="297"/>
      <c r="BH15" s="297"/>
      <c r="BI15" s="297"/>
      <c r="BJ15" s="73"/>
      <c r="BK15" s="73">
        <v>0</v>
      </c>
      <c r="BL15" s="73">
        <v>0</v>
      </c>
      <c r="BM15" s="73">
        <v>0</v>
      </c>
      <c r="BN15" s="73">
        <v>0</v>
      </c>
      <c r="BO15" s="74">
        <v>0</v>
      </c>
    </row>
    <row r="16" spans="1:67" ht="13.5" thickBot="1" x14ac:dyDescent="0.25">
      <c r="A16" s="143" t="s">
        <v>77</v>
      </c>
      <c r="B16" s="146">
        <f t="shared" ref="B16:C18" si="1">B5</f>
        <v>201.06244316272739</v>
      </c>
      <c r="C16" s="145">
        <f t="shared" si="1"/>
        <v>257.18902172626377</v>
      </c>
      <c r="E16" s="79">
        <v>0</v>
      </c>
      <c r="F16" s="346"/>
      <c r="G16" s="79">
        <v>0</v>
      </c>
      <c r="H16" s="73"/>
      <c r="I16" s="73"/>
      <c r="J16" s="240"/>
      <c r="K16" s="240"/>
      <c r="L16" s="240"/>
      <c r="M16" s="73"/>
      <c r="N16" s="73"/>
      <c r="O16" s="73"/>
      <c r="P16" s="80"/>
      <c r="Q16" s="80"/>
      <c r="R16" s="80"/>
      <c r="S16" s="80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4"/>
      <c r="AJ16" s="55"/>
      <c r="AK16" s="55"/>
      <c r="AL16" s="348">
        <v>0</v>
      </c>
      <c r="AM16" s="79"/>
      <c r="AN16" s="73"/>
      <c r="AO16" s="73"/>
      <c r="AP16" s="240"/>
      <c r="AQ16" s="240"/>
      <c r="AR16" s="240"/>
      <c r="AS16" s="73">
        <v>0</v>
      </c>
      <c r="AT16" s="73">
        <v>0</v>
      </c>
      <c r="AU16" s="73">
        <v>0</v>
      </c>
      <c r="AV16" s="80"/>
      <c r="AW16" s="80"/>
      <c r="AX16" s="80"/>
      <c r="AY16" s="80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4"/>
    </row>
    <row r="17" spans="1:67" x14ac:dyDescent="0.2">
      <c r="A17" s="147" t="s">
        <v>78</v>
      </c>
      <c r="B17" s="148">
        <f t="shared" si="1"/>
        <v>413.73901242412239</v>
      </c>
      <c r="C17" s="149">
        <f t="shared" si="1"/>
        <v>498.92401620569257</v>
      </c>
      <c r="E17" s="59" t="s">
        <v>175</v>
      </c>
      <c r="F17" s="346"/>
      <c r="G17" s="75" t="s">
        <v>175</v>
      </c>
      <c r="H17" s="76" t="str">
        <f>H4</f>
        <v>Tenix Service</v>
      </c>
      <c r="I17" s="76" t="str">
        <f>I4</f>
        <v>Tenix Rate (NH)</v>
      </c>
      <c r="J17" s="240"/>
      <c r="K17" s="240"/>
      <c r="L17" s="240"/>
      <c r="M17" s="73"/>
      <c r="N17" s="73"/>
      <c r="O17" s="73"/>
      <c r="P17" s="80"/>
      <c r="Q17" s="80"/>
      <c r="R17" s="80"/>
      <c r="S17" s="80"/>
      <c r="T17" s="87"/>
      <c r="U17" s="87"/>
      <c r="V17" s="87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4"/>
      <c r="AJ17" s="55"/>
      <c r="AK17" s="55"/>
      <c r="AL17" s="348">
        <v>0</v>
      </c>
      <c r="AM17" s="75" t="s">
        <v>177</v>
      </c>
      <c r="AN17" s="76" t="str">
        <f>AN4</f>
        <v>Tenix Service</v>
      </c>
      <c r="AO17" s="76"/>
      <c r="AP17" s="240"/>
      <c r="AQ17" s="240"/>
      <c r="AR17" s="240"/>
      <c r="AS17" s="73">
        <v>0</v>
      </c>
      <c r="AT17" s="73">
        <v>0</v>
      </c>
      <c r="AU17" s="73">
        <v>0</v>
      </c>
      <c r="AV17" s="80"/>
      <c r="AW17" s="80"/>
      <c r="AX17" s="80"/>
      <c r="AY17" s="80"/>
      <c r="AZ17" s="87"/>
      <c r="BA17" s="87"/>
      <c r="BB17" s="87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4"/>
    </row>
    <row r="18" spans="1:67" ht="13.5" thickBot="1" x14ac:dyDescent="0.25">
      <c r="A18" s="143" t="s">
        <v>79</v>
      </c>
      <c r="B18" s="150"/>
      <c r="C18" s="151">
        <f t="shared" si="1"/>
        <v>0</v>
      </c>
      <c r="E18" s="79">
        <v>501.98604713913448</v>
      </c>
      <c r="F18" s="346">
        <v>480.18951803065153</v>
      </c>
      <c r="G18" s="79">
        <v>488.38956303023144</v>
      </c>
      <c r="H18" s="73" t="s">
        <v>157</v>
      </c>
      <c r="I18" s="295"/>
      <c r="J18" s="296"/>
      <c r="K18" s="296"/>
      <c r="L18" s="296"/>
      <c r="M18" s="73">
        <v>60</v>
      </c>
      <c r="N18" s="73">
        <v>60</v>
      </c>
      <c r="O18" s="73">
        <v>60</v>
      </c>
      <c r="P18" s="295"/>
      <c r="Q18" s="295"/>
      <c r="R18" s="295"/>
      <c r="S18" s="295"/>
      <c r="T18" s="88">
        <v>0.62108059655723491</v>
      </c>
      <c r="U18" s="88">
        <v>0.13906695051688653</v>
      </c>
      <c r="V18" s="88">
        <v>0.23985245292587853</v>
      </c>
      <c r="W18" s="295"/>
      <c r="X18" s="73"/>
      <c r="Y18" s="297"/>
      <c r="Z18" s="297"/>
      <c r="AA18" s="297"/>
      <c r="AB18" s="297"/>
      <c r="AC18" s="297"/>
      <c r="AD18" s="73"/>
      <c r="AE18" s="238">
        <v>93.2</v>
      </c>
      <c r="AF18" s="238">
        <v>93.2</v>
      </c>
      <c r="AG18" s="81">
        <v>93.2</v>
      </c>
      <c r="AH18" s="81">
        <v>93.2</v>
      </c>
      <c r="AI18" s="82">
        <v>93.2</v>
      </c>
      <c r="AJ18" s="55"/>
      <c r="AK18" s="55"/>
      <c r="AL18" s="348">
        <v>93.2</v>
      </c>
      <c r="AM18" s="79">
        <v>93.200000000000017</v>
      </c>
      <c r="AN18" s="73" t="str">
        <f t="shared" si="0"/>
        <v>Truck Appointment</v>
      </c>
      <c r="AO18" s="295"/>
      <c r="AP18" s="296"/>
      <c r="AQ18" s="296"/>
      <c r="AR18" s="296"/>
      <c r="AS18" s="73">
        <v>60</v>
      </c>
      <c r="AT18" s="73">
        <v>60</v>
      </c>
      <c r="AU18" s="73">
        <v>60</v>
      </c>
      <c r="AV18" s="295"/>
      <c r="AW18" s="295"/>
      <c r="AX18" s="295"/>
      <c r="AY18" s="295"/>
      <c r="AZ18" s="88">
        <v>0.62108059655723491</v>
      </c>
      <c r="BA18" s="88">
        <v>0.13906695051688653</v>
      </c>
      <c r="BB18" s="88">
        <v>0.23985245292587853</v>
      </c>
      <c r="BC18" s="295"/>
      <c r="BD18" s="73"/>
      <c r="BE18" s="297"/>
      <c r="BF18" s="297"/>
      <c r="BG18" s="297"/>
      <c r="BH18" s="297"/>
      <c r="BI18" s="297"/>
      <c r="BJ18" s="73"/>
      <c r="BK18" s="238">
        <v>93.2</v>
      </c>
      <c r="BL18" s="238">
        <v>93.2</v>
      </c>
      <c r="BM18" s="81">
        <v>93.2</v>
      </c>
      <c r="BN18" s="81">
        <v>93.2</v>
      </c>
      <c r="BO18" s="82">
        <v>93.2</v>
      </c>
    </row>
    <row r="19" spans="1:67" x14ac:dyDescent="0.2">
      <c r="A19" s="147" t="s">
        <v>78</v>
      </c>
      <c r="B19" s="148">
        <f t="shared" ref="B19:C20" si="2">B8</f>
        <v>555.47102732616725</v>
      </c>
      <c r="C19" s="148">
        <f t="shared" si="2"/>
        <v>669.83733106458988</v>
      </c>
      <c r="E19" s="79">
        <v>273.33857016706577</v>
      </c>
      <c r="F19" s="346">
        <v>237.99482691722545</v>
      </c>
      <c r="G19" s="79">
        <v>243.03777562632695</v>
      </c>
      <c r="H19" s="73" t="s">
        <v>158</v>
      </c>
      <c r="I19" s="295"/>
      <c r="J19" s="296"/>
      <c r="K19" s="296"/>
      <c r="L19" s="296"/>
      <c r="M19" s="73">
        <v>15</v>
      </c>
      <c r="N19" s="73">
        <v>15</v>
      </c>
      <c r="O19" s="73">
        <v>15</v>
      </c>
      <c r="P19" s="295"/>
      <c r="Q19" s="295"/>
      <c r="R19" s="295"/>
      <c r="S19" s="295"/>
      <c r="T19" s="88">
        <v>0.62108059655723491</v>
      </c>
      <c r="U19" s="88">
        <v>0.13906695051688653</v>
      </c>
      <c r="V19" s="88">
        <v>0.23985245292587853</v>
      </c>
      <c r="W19" s="295"/>
      <c r="X19" s="73"/>
      <c r="Y19" s="297"/>
      <c r="Z19" s="297"/>
      <c r="AA19" s="297"/>
      <c r="AB19" s="297"/>
      <c r="AC19" s="297"/>
      <c r="AD19" s="73"/>
      <c r="AE19" s="81"/>
      <c r="AF19" s="81"/>
      <c r="AG19" s="81"/>
      <c r="AH19" s="81"/>
      <c r="AI19" s="82"/>
      <c r="AJ19" s="55"/>
      <c r="AK19" s="55"/>
      <c r="AL19" s="348">
        <v>0</v>
      </c>
      <c r="AM19" s="79">
        <v>0</v>
      </c>
      <c r="AN19" s="73" t="str">
        <f t="shared" si="0"/>
        <v>Truck Appointment - Disconnect/Reconnect only</v>
      </c>
      <c r="AO19" s="295"/>
      <c r="AP19" s="296"/>
      <c r="AQ19" s="296"/>
      <c r="AR19" s="296"/>
      <c r="AS19" s="73">
        <v>15</v>
      </c>
      <c r="AT19" s="73">
        <v>15</v>
      </c>
      <c r="AU19" s="73">
        <v>15</v>
      </c>
      <c r="AV19" s="295"/>
      <c r="AW19" s="295"/>
      <c r="AX19" s="295"/>
      <c r="AY19" s="295"/>
      <c r="AZ19" s="88">
        <v>0.62108059655723491</v>
      </c>
      <c r="BA19" s="88">
        <v>0.13906695051688653</v>
      </c>
      <c r="BB19" s="88">
        <v>0.23985245292587853</v>
      </c>
      <c r="BC19" s="295"/>
      <c r="BD19" s="73"/>
      <c r="BE19" s="297"/>
      <c r="BF19" s="297"/>
      <c r="BG19" s="297"/>
      <c r="BH19" s="297"/>
      <c r="BI19" s="297"/>
      <c r="BJ19" s="73"/>
      <c r="BK19" s="81">
        <v>0</v>
      </c>
      <c r="BL19" s="81">
        <v>0</v>
      </c>
      <c r="BM19" s="81">
        <v>0</v>
      </c>
      <c r="BN19" s="81">
        <v>0</v>
      </c>
      <c r="BO19" s="82">
        <v>0</v>
      </c>
    </row>
    <row r="20" spans="1:67" ht="13.5" thickBot="1" x14ac:dyDescent="0.25">
      <c r="A20" s="143" t="s">
        <v>80</v>
      </c>
      <c r="B20" s="150"/>
      <c r="C20" s="151">
        <f t="shared" si="2"/>
        <v>0</v>
      </c>
      <c r="E20" s="79">
        <v>0</v>
      </c>
      <c r="F20" s="346"/>
      <c r="G20" s="79">
        <v>0</v>
      </c>
      <c r="H20" s="73" t="s">
        <v>159</v>
      </c>
      <c r="I20" s="295"/>
      <c r="J20" s="296"/>
      <c r="K20" s="296"/>
      <c r="L20" s="296"/>
      <c r="M20" s="73">
        <v>15</v>
      </c>
      <c r="N20" s="73">
        <v>15</v>
      </c>
      <c r="O20" s="73">
        <v>15</v>
      </c>
      <c r="P20" s="295"/>
      <c r="Q20" s="295"/>
      <c r="R20" s="295"/>
      <c r="S20" s="295"/>
      <c r="T20" s="88">
        <v>0.62108059655723491</v>
      </c>
      <c r="U20" s="88">
        <v>0.13906695051688653</v>
      </c>
      <c r="V20" s="88">
        <v>0.23985245292587853</v>
      </c>
      <c r="W20" s="295"/>
      <c r="X20" s="73"/>
      <c r="Y20" s="297"/>
      <c r="Z20" s="297"/>
      <c r="AA20" s="297"/>
      <c r="AB20" s="297"/>
      <c r="AC20" s="297"/>
      <c r="AD20" s="73"/>
      <c r="AE20" s="73"/>
      <c r="AF20" s="73"/>
      <c r="AG20" s="73"/>
      <c r="AH20" s="73"/>
      <c r="AI20" s="74"/>
      <c r="AJ20" s="55"/>
      <c r="AK20" s="55"/>
      <c r="AL20" s="348">
        <v>322.80118270010632</v>
      </c>
      <c r="AM20" s="79">
        <v>329.64112047808209</v>
      </c>
      <c r="AN20" s="73" t="str">
        <f t="shared" si="0"/>
        <v>After-hours Fuse Insertion</v>
      </c>
      <c r="AO20" s="295"/>
      <c r="AP20" s="296"/>
      <c r="AQ20" s="296"/>
      <c r="AR20" s="296"/>
      <c r="AS20" s="73">
        <v>15</v>
      </c>
      <c r="AT20" s="73">
        <v>15</v>
      </c>
      <c r="AU20" s="73">
        <v>15</v>
      </c>
      <c r="AV20" s="295"/>
      <c r="AW20" s="295"/>
      <c r="AX20" s="295"/>
      <c r="AY20" s="295"/>
      <c r="AZ20" s="88">
        <v>0.62108059655723491</v>
      </c>
      <c r="BA20" s="88">
        <v>0.13906695051688653</v>
      </c>
      <c r="BB20" s="88">
        <v>0.23985245292587853</v>
      </c>
      <c r="BC20" s="295"/>
      <c r="BD20" s="73"/>
      <c r="BE20" s="297"/>
      <c r="BF20" s="297"/>
      <c r="BG20" s="297"/>
      <c r="BH20" s="297"/>
      <c r="BI20" s="297"/>
      <c r="BJ20" s="73"/>
      <c r="BK20" s="73">
        <v>0</v>
      </c>
      <c r="BL20" s="73">
        <v>0</v>
      </c>
      <c r="BM20" s="73">
        <v>0</v>
      </c>
      <c r="BN20" s="73">
        <v>0</v>
      </c>
      <c r="BO20" s="74">
        <v>0</v>
      </c>
    </row>
    <row r="21" spans="1:67" x14ac:dyDescent="0.2">
      <c r="A21" s="147" t="s">
        <v>81</v>
      </c>
      <c r="B21" s="148">
        <f t="shared" ref="B21:C22" si="3">B10</f>
        <v>300.88189973696342</v>
      </c>
      <c r="C21" s="152">
        <f t="shared" si="3"/>
        <v>372.62732869939271</v>
      </c>
      <c r="E21" s="79">
        <v>368.79610341341021</v>
      </c>
      <c r="F21" s="346">
        <v>325.72710739231024</v>
      </c>
      <c r="G21" s="79">
        <v>332.62904352689151</v>
      </c>
      <c r="H21" s="73" t="s">
        <v>160</v>
      </c>
      <c r="I21" s="295"/>
      <c r="J21" s="296"/>
      <c r="K21" s="296"/>
      <c r="L21" s="296"/>
      <c r="M21" s="73">
        <v>30</v>
      </c>
      <c r="N21" s="73">
        <v>30</v>
      </c>
      <c r="O21" s="73">
        <v>30</v>
      </c>
      <c r="P21" s="295"/>
      <c r="Q21" s="295"/>
      <c r="R21" s="295"/>
      <c r="S21" s="295"/>
      <c r="T21" s="88">
        <v>0.62108059655723491</v>
      </c>
      <c r="U21" s="88">
        <v>0.13906695051688653</v>
      </c>
      <c r="V21" s="88">
        <v>0.23985245292587853</v>
      </c>
      <c r="W21" s="295"/>
      <c r="X21" s="73"/>
      <c r="Y21" s="297"/>
      <c r="Z21" s="297"/>
      <c r="AA21" s="297"/>
      <c r="AB21" s="297"/>
      <c r="AC21" s="297"/>
      <c r="AD21" s="73"/>
      <c r="AE21" s="73"/>
      <c r="AF21" s="73"/>
      <c r="AG21" s="73"/>
      <c r="AH21" s="73"/>
      <c r="AI21" s="74"/>
      <c r="AJ21" s="55"/>
      <c r="AK21" s="55"/>
      <c r="AL21" s="348">
        <v>413.69438553276336</v>
      </c>
      <c r="AM21" s="79">
        <v>422.46028853371632</v>
      </c>
      <c r="AN21" s="73" t="str">
        <f t="shared" si="0"/>
        <v>Reconnect Supply after a Fault</v>
      </c>
      <c r="AO21" s="295"/>
      <c r="AP21" s="296"/>
      <c r="AQ21" s="296"/>
      <c r="AR21" s="296"/>
      <c r="AS21" s="73">
        <v>30</v>
      </c>
      <c r="AT21" s="73">
        <v>30</v>
      </c>
      <c r="AU21" s="73">
        <v>30</v>
      </c>
      <c r="AV21" s="295"/>
      <c r="AW21" s="295"/>
      <c r="AX21" s="295"/>
      <c r="AY21" s="295"/>
      <c r="AZ21" s="88">
        <v>0.62108059655723491</v>
      </c>
      <c r="BA21" s="88">
        <v>0.13906695051688653</v>
      </c>
      <c r="BB21" s="88">
        <v>0.23985245292587853</v>
      </c>
      <c r="BC21" s="295"/>
      <c r="BD21" s="73"/>
      <c r="BE21" s="297"/>
      <c r="BF21" s="297"/>
      <c r="BG21" s="297"/>
      <c r="BH21" s="297"/>
      <c r="BI21" s="297"/>
      <c r="BJ21" s="73"/>
      <c r="BK21" s="73">
        <v>0</v>
      </c>
      <c r="BL21" s="73">
        <v>0</v>
      </c>
      <c r="BM21" s="73">
        <v>0</v>
      </c>
      <c r="BN21" s="73">
        <v>0</v>
      </c>
      <c r="BO21" s="74">
        <v>0</v>
      </c>
    </row>
    <row r="22" spans="1:67" ht="13.5" thickBot="1" x14ac:dyDescent="0.25">
      <c r="A22" s="143" t="s">
        <v>79</v>
      </c>
      <c r="B22" s="150"/>
      <c r="C22" s="151">
        <f t="shared" si="3"/>
        <v>0</v>
      </c>
      <c r="E22" s="79">
        <v>353.5881441009181</v>
      </c>
      <c r="F22" s="346">
        <v>334.73477488920679</v>
      </c>
      <c r="G22" s="79">
        <v>341.82757737901051</v>
      </c>
      <c r="H22" s="73" t="s">
        <v>161</v>
      </c>
      <c r="I22" s="295"/>
      <c r="J22" s="296"/>
      <c r="K22" s="296"/>
      <c r="L22" s="296"/>
      <c r="M22" s="73">
        <v>60</v>
      </c>
      <c r="N22" s="73">
        <v>60</v>
      </c>
      <c r="O22" s="73">
        <v>60</v>
      </c>
      <c r="P22" s="295"/>
      <c r="Q22" s="295"/>
      <c r="R22" s="295"/>
      <c r="S22" s="295"/>
      <c r="T22" s="88">
        <v>0.62108059655723491</v>
      </c>
      <c r="U22" s="88">
        <v>0.13906695051688653</v>
      </c>
      <c r="V22" s="88">
        <v>0.23985245292587853</v>
      </c>
      <c r="W22" s="295"/>
      <c r="X22" s="73"/>
      <c r="Y22" s="297"/>
      <c r="Z22" s="297"/>
      <c r="AA22" s="297"/>
      <c r="AB22" s="297"/>
      <c r="AC22" s="297"/>
      <c r="AD22" s="73"/>
      <c r="AE22" s="73"/>
      <c r="AF22" s="73"/>
      <c r="AG22" s="73"/>
      <c r="AH22" s="73"/>
      <c r="AI22" s="74"/>
      <c r="AJ22" s="55"/>
      <c r="AK22" s="55"/>
      <c r="AL22" s="348">
        <v>491.77424549164152</v>
      </c>
      <c r="AM22" s="79">
        <v>502.1946076843625</v>
      </c>
      <c r="AN22" s="73" t="str">
        <f t="shared" si="0"/>
        <v>Fault caused by 3rd party</v>
      </c>
      <c r="AO22" s="295"/>
      <c r="AP22" s="296"/>
      <c r="AQ22" s="296"/>
      <c r="AR22" s="296"/>
      <c r="AS22" s="73">
        <v>60</v>
      </c>
      <c r="AT22" s="73">
        <v>60</v>
      </c>
      <c r="AU22" s="73">
        <v>60</v>
      </c>
      <c r="AV22" s="295"/>
      <c r="AW22" s="295"/>
      <c r="AX22" s="295"/>
      <c r="AY22" s="295"/>
      <c r="AZ22" s="88">
        <v>0.62108059655723491</v>
      </c>
      <c r="BA22" s="88">
        <v>0.13906695051688653</v>
      </c>
      <c r="BB22" s="88">
        <v>0.23985245292587853</v>
      </c>
      <c r="BC22" s="295"/>
      <c r="BD22" s="73"/>
      <c r="BE22" s="297"/>
      <c r="BF22" s="297"/>
      <c r="BG22" s="297"/>
      <c r="BH22" s="297"/>
      <c r="BI22" s="297"/>
      <c r="BJ22" s="73"/>
      <c r="BK22" s="73">
        <v>0</v>
      </c>
      <c r="BL22" s="73">
        <v>0</v>
      </c>
      <c r="BM22" s="73">
        <v>0</v>
      </c>
      <c r="BN22" s="73">
        <v>0</v>
      </c>
      <c r="BO22" s="74">
        <v>0</v>
      </c>
    </row>
    <row r="23" spans="1:67" x14ac:dyDescent="0.2">
      <c r="A23" s="147" t="s">
        <v>81</v>
      </c>
      <c r="B23" s="148">
        <f t="shared" ref="B23:C24" si="4">B12</f>
        <v>434.09128022430332</v>
      </c>
      <c r="C23" s="148">
        <f t="shared" si="4"/>
        <v>537.60054793289419</v>
      </c>
      <c r="E23" s="79">
        <v>195.79671146240986</v>
      </c>
      <c r="F23" s="346">
        <v>185.35680346994573</v>
      </c>
      <c r="G23" s="79">
        <v>189.2843882199582</v>
      </c>
      <c r="H23" s="73" t="s">
        <v>162</v>
      </c>
      <c r="I23" s="295"/>
      <c r="J23" s="296"/>
      <c r="K23" s="296"/>
      <c r="L23" s="296"/>
      <c r="M23" s="73">
        <v>15</v>
      </c>
      <c r="N23" s="73">
        <v>15</v>
      </c>
      <c r="O23" s="73">
        <v>15</v>
      </c>
      <c r="P23" s="295"/>
      <c r="Q23" s="295"/>
      <c r="R23" s="295"/>
      <c r="S23" s="295"/>
      <c r="T23" s="88">
        <v>0.62108059655723491</v>
      </c>
      <c r="U23" s="88">
        <v>0.13906695051688653</v>
      </c>
      <c r="V23" s="88">
        <v>0.23985245292587853</v>
      </c>
      <c r="W23" s="295"/>
      <c r="X23" s="73"/>
      <c r="Y23" s="297"/>
      <c r="Z23" s="297"/>
      <c r="AA23" s="297"/>
      <c r="AB23" s="297"/>
      <c r="AC23" s="297"/>
      <c r="AD23" s="73"/>
      <c r="AE23" s="81">
        <v>0</v>
      </c>
      <c r="AF23" s="73">
        <v>0</v>
      </c>
      <c r="AG23" s="73">
        <v>0</v>
      </c>
      <c r="AH23" s="73">
        <v>0</v>
      </c>
      <c r="AI23" s="74">
        <v>0</v>
      </c>
      <c r="AJ23" s="55"/>
      <c r="AK23" s="55"/>
      <c r="AL23" s="348">
        <v>267.98386298035172</v>
      </c>
      <c r="AM23" s="79">
        <v>273.6622589916517</v>
      </c>
      <c r="AN23" s="73" t="str">
        <f t="shared" si="0"/>
        <v>Wasted Visit</v>
      </c>
      <c r="AO23" s="295"/>
      <c r="AP23" s="296"/>
      <c r="AQ23" s="296"/>
      <c r="AR23" s="296"/>
      <c r="AS23" s="73">
        <v>15</v>
      </c>
      <c r="AT23" s="73">
        <v>15</v>
      </c>
      <c r="AU23" s="73">
        <v>15</v>
      </c>
      <c r="AV23" s="295"/>
      <c r="AW23" s="295"/>
      <c r="AX23" s="295"/>
      <c r="AY23" s="295"/>
      <c r="AZ23" s="88">
        <v>0.62108059655723491</v>
      </c>
      <c r="BA23" s="88">
        <v>0.13906695051688653</v>
      </c>
      <c r="BB23" s="88">
        <v>0.23985245292587853</v>
      </c>
      <c r="BC23" s="295"/>
      <c r="BD23" s="73"/>
      <c r="BE23" s="297"/>
      <c r="BF23" s="297"/>
      <c r="BG23" s="297"/>
      <c r="BH23" s="297"/>
      <c r="BI23" s="297"/>
      <c r="BJ23" s="73"/>
      <c r="BK23" s="81">
        <v>0</v>
      </c>
      <c r="BL23" s="73">
        <v>0</v>
      </c>
      <c r="BM23" s="73">
        <v>0</v>
      </c>
      <c r="BN23" s="73">
        <v>0</v>
      </c>
      <c r="BO23" s="74">
        <v>0</v>
      </c>
    </row>
    <row r="24" spans="1:67" ht="13.5" thickBot="1" x14ac:dyDescent="0.25">
      <c r="A24" s="143" t="s">
        <v>80</v>
      </c>
      <c r="B24" s="150"/>
      <c r="C24" s="151">
        <f t="shared" si="4"/>
        <v>0</v>
      </c>
      <c r="E24" s="79">
        <v>0</v>
      </c>
      <c r="F24" s="80"/>
      <c r="G24" s="84">
        <v>0</v>
      </c>
      <c r="H24" s="85" t="s">
        <v>163</v>
      </c>
      <c r="I24" s="299"/>
      <c r="J24" s="300"/>
      <c r="K24" s="300"/>
      <c r="L24" s="300"/>
      <c r="M24" s="85">
        <v>60</v>
      </c>
      <c r="N24" s="85">
        <v>60</v>
      </c>
      <c r="O24" s="85">
        <v>60</v>
      </c>
      <c r="P24" s="301"/>
      <c r="Q24" s="301"/>
      <c r="R24" s="301"/>
      <c r="S24" s="301"/>
      <c r="T24" s="85"/>
      <c r="U24" s="85"/>
      <c r="V24" s="85"/>
      <c r="W24" s="301"/>
      <c r="X24" s="85"/>
      <c r="Y24" s="301"/>
      <c r="Z24" s="301"/>
      <c r="AA24" s="301"/>
      <c r="AB24" s="301"/>
      <c r="AC24" s="301"/>
      <c r="AD24" s="85"/>
      <c r="AE24" s="85"/>
      <c r="AF24" s="85"/>
      <c r="AG24" s="85"/>
      <c r="AH24" s="85"/>
      <c r="AI24" s="86"/>
      <c r="AJ24" s="55"/>
      <c r="AK24" s="55"/>
      <c r="AL24" s="348">
        <v>893.18251777709588</v>
      </c>
      <c r="AM24" s="84">
        <v>912.10844857719087</v>
      </c>
      <c r="AN24" s="85" t="str">
        <f t="shared" si="0"/>
        <v>After hours appointmnet</v>
      </c>
      <c r="AO24" s="299"/>
      <c r="AP24" s="300"/>
      <c r="AQ24" s="300"/>
      <c r="AR24" s="300"/>
      <c r="AS24" s="85">
        <v>60</v>
      </c>
      <c r="AT24" s="85">
        <v>60</v>
      </c>
      <c r="AU24" s="85">
        <v>60</v>
      </c>
      <c r="AV24" s="301"/>
      <c r="AW24" s="301"/>
      <c r="AX24" s="301"/>
      <c r="AY24" s="301"/>
      <c r="AZ24" s="127">
        <v>0.62108059655723491</v>
      </c>
      <c r="BA24" s="127">
        <v>0.13906695051688653</v>
      </c>
      <c r="BB24" s="127">
        <v>0.23985245292587853</v>
      </c>
      <c r="BC24" s="301"/>
      <c r="BD24" s="85"/>
      <c r="BE24" s="301"/>
      <c r="BF24" s="301"/>
      <c r="BG24" s="301"/>
      <c r="BH24" s="301"/>
      <c r="BI24" s="301"/>
      <c r="BJ24" s="85"/>
      <c r="BK24" s="85">
        <v>0</v>
      </c>
      <c r="BL24" s="85">
        <v>0</v>
      </c>
      <c r="BM24" s="85">
        <v>0</v>
      </c>
      <c r="BN24" s="85">
        <v>0</v>
      </c>
      <c r="BO24" s="86">
        <v>0</v>
      </c>
    </row>
    <row r="25" spans="1:67" ht="13.5" thickBot="1" x14ac:dyDescent="0.25">
      <c r="A25" s="267" t="s">
        <v>83</v>
      </c>
      <c r="B25" s="268"/>
      <c r="C25" s="269"/>
      <c r="I25" s="302"/>
      <c r="J25" s="302" t="s">
        <v>40</v>
      </c>
      <c r="K25" s="302" t="s">
        <v>151</v>
      </c>
      <c r="L25" s="302" t="s">
        <v>344</v>
      </c>
    </row>
    <row r="26" spans="1:67" ht="25.5" customHeight="1" thickBot="1" x14ac:dyDescent="0.25">
      <c r="A26" s="62" t="s">
        <v>84</v>
      </c>
      <c r="B26" s="246">
        <f>B41</f>
        <v>325.72710739231024</v>
      </c>
      <c r="C26" s="246">
        <f>C41</f>
        <v>413.69438553276336</v>
      </c>
      <c r="I26" s="302" t="s">
        <v>42</v>
      </c>
      <c r="J26" s="302">
        <v>91.881195419954722</v>
      </c>
      <c r="K26" s="302">
        <f>J26/60</f>
        <v>1.5313532569992454</v>
      </c>
      <c r="L26" s="302">
        <f>K26*2</f>
        <v>3.0627065139984908</v>
      </c>
      <c r="M26" s="119" t="s">
        <v>208</v>
      </c>
      <c r="N26" s="120" t="s">
        <v>209</v>
      </c>
      <c r="O26" s="120" t="s">
        <v>210</v>
      </c>
      <c r="P26" s="121" t="s">
        <v>211</v>
      </c>
      <c r="Q26" s="303"/>
      <c r="AH26" s="304"/>
      <c r="AI26" s="304"/>
      <c r="AJ26" s="304"/>
      <c r="AK26" s="304"/>
      <c r="AL26" s="304"/>
      <c r="AM26" s="304"/>
      <c r="AN26" s="304"/>
      <c r="AO26" s="304"/>
      <c r="AP26" s="304"/>
      <c r="AQ26" s="304"/>
      <c r="AR26" s="304"/>
      <c r="AS26" s="304"/>
      <c r="AT26" s="304"/>
      <c r="AU26" s="304"/>
      <c r="AV26" s="304"/>
      <c r="AW26" s="304"/>
    </row>
    <row r="27" spans="1:67" ht="26.25" thickBot="1" x14ac:dyDescent="0.3">
      <c r="A27" s="62" t="s">
        <v>85</v>
      </c>
      <c r="B27" s="63" t="s">
        <v>219</v>
      </c>
      <c r="C27" s="64" t="s">
        <v>219</v>
      </c>
      <c r="I27" s="302" t="s">
        <v>345</v>
      </c>
      <c r="J27" s="302">
        <v>160.79209198492072</v>
      </c>
      <c r="K27" s="302">
        <f t="shared" ref="K27:K30" si="5">J27/60</f>
        <v>2.6798681997486784</v>
      </c>
      <c r="L27" s="302">
        <f t="shared" ref="L27:L30" si="6">K27*2</f>
        <v>5.3597363994973568</v>
      </c>
      <c r="M27" s="111" t="s">
        <v>212</v>
      </c>
      <c r="N27" s="112">
        <v>421274</v>
      </c>
      <c r="O27" s="113">
        <v>0.62108059655723491</v>
      </c>
      <c r="P27" s="114">
        <v>15.711498929437848</v>
      </c>
      <c r="Q27" s="305"/>
      <c r="AH27" s="304"/>
      <c r="AI27" s="304"/>
      <c r="AJ27" s="304"/>
      <c r="AK27" s="304"/>
      <c r="AL27" s="304"/>
      <c r="AM27" s="304"/>
      <c r="AN27" s="304"/>
      <c r="AO27" s="304"/>
      <c r="AP27" s="304"/>
      <c r="AQ27" s="304"/>
      <c r="AR27" s="304"/>
      <c r="AS27" s="304"/>
      <c r="AT27" s="304"/>
      <c r="AU27" s="304"/>
      <c r="AV27" s="304"/>
      <c r="AW27" s="304"/>
    </row>
    <row r="28" spans="1:67" ht="26.25" thickBot="1" x14ac:dyDescent="0.3">
      <c r="A28" s="66" t="s">
        <v>230</v>
      </c>
      <c r="B28" s="232">
        <f>+'2015 Remote Reconfig'!M19</f>
        <v>27.069775500244024</v>
      </c>
      <c r="C28" s="232">
        <f>+'2015 Remote Reconfig'!M19</f>
        <v>27.069775500244024</v>
      </c>
      <c r="I28" s="302" t="s">
        <v>346</v>
      </c>
      <c r="J28" s="302">
        <v>172.27724141241507</v>
      </c>
      <c r="K28" s="302">
        <f t="shared" si="5"/>
        <v>2.8712873568735846</v>
      </c>
      <c r="L28" s="302">
        <f t="shared" si="6"/>
        <v>5.7425747137471692</v>
      </c>
      <c r="M28" s="111" t="s">
        <v>213</v>
      </c>
      <c r="N28" s="112">
        <v>94328</v>
      </c>
      <c r="O28" s="113">
        <v>0.13906695051688653</v>
      </c>
      <c r="P28" s="114">
        <v>36.219309218895766</v>
      </c>
      <c r="Q28" s="305"/>
      <c r="AH28" s="304"/>
      <c r="AI28" s="304"/>
      <c r="AJ28" s="304"/>
      <c r="AK28" s="304"/>
      <c r="AL28" s="304"/>
      <c r="AM28" s="304"/>
      <c r="AN28" s="304"/>
      <c r="AO28" s="304"/>
      <c r="AP28" s="304"/>
      <c r="AQ28" s="304"/>
      <c r="AR28" s="304"/>
      <c r="AS28" s="304"/>
      <c r="AT28" s="304"/>
      <c r="AU28" s="304"/>
      <c r="AV28" s="304"/>
      <c r="AW28" s="304"/>
    </row>
    <row r="29" spans="1:67" ht="27" customHeight="1" thickTop="1" thickBot="1" x14ac:dyDescent="0.3">
      <c r="A29" s="66" t="s">
        <v>342</v>
      </c>
      <c r="B29" s="232">
        <f>+'Meter Equipment Test'!B24</f>
        <v>142.87061375296838</v>
      </c>
      <c r="C29" s="263"/>
      <c r="I29" s="302" t="s">
        <v>347</v>
      </c>
      <c r="J29" s="302">
        <v>160.79209198492072</v>
      </c>
      <c r="K29" s="302">
        <f t="shared" si="5"/>
        <v>2.6798681997486784</v>
      </c>
      <c r="L29" s="302">
        <f t="shared" si="6"/>
        <v>5.3597363994973568</v>
      </c>
      <c r="M29" s="111" t="s">
        <v>214</v>
      </c>
      <c r="N29" s="112">
        <v>162690</v>
      </c>
      <c r="O29" s="113">
        <v>0.23985245292587853</v>
      </c>
      <c r="P29" s="114">
        <v>43.637267195279364</v>
      </c>
      <c r="Q29" s="305"/>
      <c r="T29" s="59" t="s">
        <v>199</v>
      </c>
      <c r="AH29" s="304"/>
      <c r="AI29" s="304"/>
      <c r="AJ29" s="304"/>
      <c r="AK29" s="304"/>
      <c r="AL29" s="304"/>
      <c r="AM29" s="304"/>
      <c r="AN29" s="304"/>
      <c r="AO29" s="304"/>
      <c r="AP29" s="304"/>
      <c r="AQ29" s="304"/>
      <c r="AR29" s="304"/>
      <c r="AS29" s="304"/>
      <c r="AT29" s="304"/>
      <c r="AU29" s="304"/>
      <c r="AV29" s="304"/>
      <c r="AW29" s="304"/>
    </row>
    <row r="30" spans="1:67" ht="27" thickTop="1" thickBot="1" x14ac:dyDescent="0.3">
      <c r="A30" s="66" t="s">
        <v>343</v>
      </c>
      <c r="B30" s="232">
        <f>+'Meter Equipment Test'!B25</f>
        <v>189.39616601840038</v>
      </c>
      <c r="C30" s="263"/>
      <c r="I30" s="302" t="s">
        <v>348</v>
      </c>
      <c r="J30" s="302">
        <v>229.70298854988675</v>
      </c>
      <c r="K30" s="302">
        <f t="shared" si="5"/>
        <v>3.8283831424981125</v>
      </c>
      <c r="L30" s="302">
        <f t="shared" si="6"/>
        <v>7.656766284996225</v>
      </c>
      <c r="M30" s="111" t="s">
        <v>215</v>
      </c>
      <c r="N30" s="112">
        <v>257018</v>
      </c>
      <c r="O30" s="113">
        <v>0.37891940344276509</v>
      </c>
      <c r="P30" s="114">
        <v>40.914807523208488</v>
      </c>
      <c r="Q30" s="305"/>
      <c r="T30" s="89" t="s">
        <v>178</v>
      </c>
      <c r="U30"/>
      <c r="V30"/>
      <c r="W30"/>
      <c r="X30"/>
      <c r="AH30" s="304"/>
      <c r="AI30" s="304"/>
      <c r="AJ30" s="304"/>
      <c r="AK30" s="304"/>
      <c r="AL30" s="304"/>
      <c r="AM30" s="304"/>
      <c r="AN30" s="304"/>
      <c r="AO30" s="304"/>
      <c r="AP30" s="304"/>
      <c r="AQ30" s="304"/>
      <c r="AR30" s="304"/>
      <c r="AS30" s="304"/>
      <c r="AT30" s="304"/>
      <c r="AU30" s="304"/>
      <c r="AV30" s="304"/>
      <c r="AW30" s="304"/>
    </row>
    <row r="31" spans="1:67" ht="27" thickTop="1" thickBot="1" x14ac:dyDescent="0.3">
      <c r="A31" s="66" t="s">
        <v>280</v>
      </c>
      <c r="B31" s="232">
        <v>907.0948704244995</v>
      </c>
      <c r="C31" s="232">
        <v>964.55336911735139</v>
      </c>
      <c r="M31" s="115" t="s">
        <v>216</v>
      </c>
      <c r="N31" s="116">
        <v>678292</v>
      </c>
      <c r="O31" s="117">
        <v>1</v>
      </c>
      <c r="P31" s="118">
        <v>25.261521586573334</v>
      </c>
      <c r="Q31" s="305"/>
      <c r="T31" s="276" t="s">
        <v>179</v>
      </c>
      <c r="U31" s="276" t="s">
        <v>180</v>
      </c>
      <c r="V31" s="276" t="s">
        <v>181</v>
      </c>
      <c r="W31" s="90" t="s">
        <v>182</v>
      </c>
      <c r="X31" s="276" t="s">
        <v>184</v>
      </c>
      <c r="AH31" s="304"/>
      <c r="AI31" s="304"/>
      <c r="AJ31" s="304"/>
      <c r="AK31" s="304"/>
      <c r="AL31" s="304"/>
      <c r="AM31" s="304"/>
      <c r="AN31" s="304"/>
      <c r="AO31" s="304"/>
      <c r="AP31" s="304"/>
      <c r="AQ31" s="304"/>
      <c r="AR31" s="304"/>
      <c r="AS31" s="304"/>
      <c r="AT31" s="304"/>
      <c r="AU31" s="304"/>
      <c r="AV31" s="304"/>
      <c r="AW31" s="304"/>
    </row>
    <row r="32" spans="1:67" ht="61.5" thickTop="1" thickBot="1" x14ac:dyDescent="0.25">
      <c r="A32" s="66" t="s">
        <v>281</v>
      </c>
      <c r="B32" s="232">
        <v>931.32730978793757</v>
      </c>
      <c r="C32" s="232">
        <v>944.87589637773067</v>
      </c>
      <c r="T32" s="277"/>
      <c r="U32" s="277"/>
      <c r="V32" s="277"/>
      <c r="W32" s="91" t="s">
        <v>183</v>
      </c>
      <c r="X32" s="277"/>
      <c r="AH32" s="304"/>
      <c r="AI32" s="304"/>
      <c r="AJ32" s="304"/>
      <c r="AK32" s="304"/>
      <c r="AL32" s="304"/>
      <c r="AM32" s="304"/>
      <c r="AN32" s="304"/>
      <c r="AO32" s="304"/>
      <c r="AP32" s="304"/>
      <c r="AQ32" s="304"/>
      <c r="AR32" s="304"/>
      <c r="AS32" s="304"/>
      <c r="AT32" s="304"/>
      <c r="AU32" s="304"/>
      <c r="AV32" s="304"/>
      <c r="AW32" s="304"/>
    </row>
    <row r="33" spans="1:49" ht="39.75" thickTop="1" thickBot="1" x14ac:dyDescent="0.25">
      <c r="A33" s="66" t="s">
        <v>284</v>
      </c>
      <c r="B33" s="232">
        <v>952.27447756635456</v>
      </c>
      <c r="C33" s="232">
        <v>1072.3201784470928</v>
      </c>
      <c r="T33" s="264" t="s">
        <v>185</v>
      </c>
      <c r="U33" s="91">
        <v>0.75</v>
      </c>
      <c r="V33" s="91" t="s">
        <v>186</v>
      </c>
      <c r="W33" s="92">
        <f>'Materials cost'!F25</f>
        <v>72.775000000000006</v>
      </c>
      <c r="X33" s="92">
        <f>(W33*(1+0.12)*(1+0.14))</f>
        <v>92.919120000000021</v>
      </c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</row>
    <row r="34" spans="1:49" ht="39.75" thickTop="1" thickBot="1" x14ac:dyDescent="0.25">
      <c r="A34" s="66" t="s">
        <v>283</v>
      </c>
      <c r="B34" s="232">
        <v>938.83503850910188</v>
      </c>
      <c r="C34" s="232">
        <v>941.56188802210909</v>
      </c>
      <c r="T34" s="264" t="s">
        <v>187</v>
      </c>
      <c r="U34" s="91">
        <v>1</v>
      </c>
      <c r="V34" s="91" t="s">
        <v>186</v>
      </c>
      <c r="W34" s="92">
        <f>'Materials cost'!F33</f>
        <v>97.21</v>
      </c>
      <c r="X34" s="92">
        <f>(W34*(1+0.12)*(1+0.14))</f>
        <v>124.11772800000003</v>
      </c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</row>
    <row r="35" spans="1:49" ht="31.5" thickTop="1" thickBot="1" x14ac:dyDescent="0.25">
      <c r="A35" s="66" t="s">
        <v>282</v>
      </c>
      <c r="B35" s="232">
        <v>1028.2355457700603</v>
      </c>
      <c r="C35" s="232">
        <v>1047.9560642038762</v>
      </c>
      <c r="T35" s="264" t="s">
        <v>188</v>
      </c>
      <c r="U35" s="91">
        <v>0.5</v>
      </c>
      <c r="V35" s="91" t="s">
        <v>186</v>
      </c>
      <c r="W35" s="92">
        <f>'Materials cost'!F40</f>
        <v>28.959999999999997</v>
      </c>
      <c r="X35" s="92">
        <f t="shared" ref="X35:X36" si="7">(W35*(1+0.12)*(1+0.14))</f>
        <v>36.976128000000003</v>
      </c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</row>
    <row r="36" spans="1:49" ht="31.5" thickTop="1" thickBot="1" x14ac:dyDescent="0.25">
      <c r="T36" s="264" t="s">
        <v>189</v>
      </c>
      <c r="U36" s="91">
        <v>0.75</v>
      </c>
      <c r="V36" s="91" t="s">
        <v>186</v>
      </c>
      <c r="W36" s="92">
        <f>'Materials cost'!F48</f>
        <v>64</v>
      </c>
      <c r="X36" s="92">
        <f t="shared" si="7"/>
        <v>81.71520000000001</v>
      </c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</row>
    <row r="37" spans="1:49" ht="30.75" thickBot="1" x14ac:dyDescent="0.25">
      <c r="A37" s="101" t="s">
        <v>217</v>
      </c>
      <c r="B37" s="102">
        <f>F12</f>
        <v>637.98329545318131</v>
      </c>
      <c r="C37" s="103">
        <f>AL12</f>
        <v>799.20875895453594</v>
      </c>
      <c r="T37" s="264" t="s">
        <v>190</v>
      </c>
      <c r="U37" s="91">
        <v>0.5</v>
      </c>
      <c r="V37" s="91" t="s">
        <v>186</v>
      </c>
      <c r="W37" s="91" t="s">
        <v>191</v>
      </c>
      <c r="X37" s="91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</row>
    <row r="38" spans="1:49" ht="30.75" thickBot="1" x14ac:dyDescent="0.3">
      <c r="A38" s="95" t="s">
        <v>200</v>
      </c>
      <c r="B38"/>
      <c r="C38"/>
      <c r="T38" s="264" t="s">
        <v>192</v>
      </c>
      <c r="U38" s="91">
        <v>1</v>
      </c>
      <c r="V38" s="91" t="s">
        <v>186</v>
      </c>
      <c r="W38" s="91" t="s">
        <v>193</v>
      </c>
      <c r="X38" s="92">
        <v>93.2</v>
      </c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</row>
    <row r="39" spans="1:49" ht="31.5" thickTop="1" thickBot="1" x14ac:dyDescent="0.25">
      <c r="A39" s="96" t="s">
        <v>72</v>
      </c>
      <c r="B39" s="13" t="s">
        <v>73</v>
      </c>
      <c r="C39" s="14" t="s">
        <v>74</v>
      </c>
      <c r="T39" s="264" t="s">
        <v>194</v>
      </c>
      <c r="U39" s="91" t="s">
        <v>195</v>
      </c>
      <c r="V39" s="91" t="s">
        <v>186</v>
      </c>
      <c r="W39" s="91"/>
      <c r="X39" s="91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</row>
    <row r="40" spans="1:49" ht="16.5" thickTop="1" thickBot="1" x14ac:dyDescent="0.25">
      <c r="A40" s="306" t="s">
        <v>201</v>
      </c>
      <c r="B40" s="307">
        <f>'Field Officer Visit Costs'!CI41</f>
        <v>17.947506866699907</v>
      </c>
      <c r="C40" s="308">
        <f>AL20</f>
        <v>322.80118270010632</v>
      </c>
      <c r="T40" s="276" t="s">
        <v>196</v>
      </c>
      <c r="U40" s="93" t="s">
        <v>197</v>
      </c>
      <c r="V40" s="276"/>
      <c r="W40" s="276"/>
      <c r="X40" s="276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</row>
    <row r="41" spans="1:49" ht="15.75" thickBot="1" x14ac:dyDescent="0.3">
      <c r="A41" s="306" t="s">
        <v>218</v>
      </c>
      <c r="B41" s="309">
        <f>F21</f>
        <v>325.72710739231024</v>
      </c>
      <c r="C41" s="308">
        <f>AL21</f>
        <v>413.69438553276336</v>
      </c>
      <c r="I41" s="94"/>
      <c r="J41"/>
      <c r="K41"/>
      <c r="L41"/>
      <c r="M41"/>
      <c r="T41" s="277"/>
      <c r="U41" s="91" t="s">
        <v>198</v>
      </c>
      <c r="V41" s="277"/>
      <c r="W41" s="277"/>
      <c r="X41" s="277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</row>
    <row r="42" spans="1:49" ht="15.75" thickBot="1" x14ac:dyDescent="0.3">
      <c r="A42" s="306" t="s">
        <v>202</v>
      </c>
      <c r="B42" s="309">
        <f>F23</f>
        <v>185.35680346994573</v>
      </c>
      <c r="C42" s="308">
        <f>AL23</f>
        <v>267.98386298035172</v>
      </c>
      <c r="I42" s="94"/>
      <c r="J42"/>
      <c r="K42"/>
      <c r="L42"/>
      <c r="M42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</row>
    <row r="43" spans="1:49" ht="26.25" thickBot="1" x14ac:dyDescent="0.3">
      <c r="A43" s="310" t="s">
        <v>319</v>
      </c>
      <c r="B43" s="311">
        <f>'Meter Equipment Test'!B6</f>
        <v>153.39168799205643</v>
      </c>
      <c r="C43" s="312" t="s">
        <v>323</v>
      </c>
      <c r="I43" s="94"/>
      <c r="J43"/>
      <c r="K43"/>
      <c r="L43"/>
      <c r="M43"/>
      <c r="AH43" s="304"/>
      <c r="AI43" s="304"/>
      <c r="AJ43" s="304"/>
      <c r="AK43" s="304"/>
      <c r="AL43" s="304"/>
      <c r="AM43" s="304"/>
      <c r="AN43" s="304"/>
      <c r="AO43" s="304"/>
      <c r="AP43" s="304"/>
      <c r="AQ43" s="304"/>
      <c r="AR43" s="304"/>
      <c r="AS43" s="304"/>
      <c r="AT43" s="304"/>
      <c r="AU43" s="304"/>
      <c r="AV43" s="304"/>
      <c r="AW43" s="304"/>
    </row>
    <row r="44" spans="1:49" ht="27" thickTop="1" thickBot="1" x14ac:dyDescent="0.25">
      <c r="A44" s="310" t="s">
        <v>320</v>
      </c>
      <c r="B44" s="311">
        <f>'Meter Equipment Test'!B7</f>
        <v>57.148245501187347</v>
      </c>
      <c r="C44" s="312" t="s">
        <v>323</v>
      </c>
      <c r="AH44" s="304"/>
      <c r="AI44" s="304"/>
      <c r="AJ44" s="304"/>
      <c r="AK44" s="304"/>
      <c r="AL44" s="304"/>
      <c r="AM44" s="304"/>
      <c r="AN44" s="304"/>
      <c r="AO44" s="304"/>
      <c r="AP44" s="304"/>
      <c r="AQ44" s="304"/>
      <c r="AR44" s="304"/>
      <c r="AS44" s="304"/>
      <c r="AT44" s="304"/>
      <c r="AU44" s="304"/>
      <c r="AV44" s="304"/>
      <c r="AW44" s="304"/>
    </row>
    <row r="45" spans="1:49" ht="14.25" thickTop="1" thickBot="1" x14ac:dyDescent="0.25">
      <c r="A45" s="310" t="s">
        <v>321</v>
      </c>
      <c r="B45" s="311">
        <f>'Meter Equipment Test'!B15</f>
        <v>181.96581074265015</v>
      </c>
      <c r="C45" s="312" t="s">
        <v>323</v>
      </c>
    </row>
    <row r="46" spans="1:49" ht="27" thickTop="1" thickBot="1" x14ac:dyDescent="0.25">
      <c r="A46" s="310" t="s">
        <v>322</v>
      </c>
      <c r="B46" s="311">
        <f>'Meter Equipment Test'!B16</f>
        <v>85.72236825178102</v>
      </c>
      <c r="C46" s="312" t="s">
        <v>323</v>
      </c>
    </row>
    <row r="47" spans="1:49" ht="15.75" thickTop="1" x14ac:dyDescent="0.25">
      <c r="AI47" s="313" t="s">
        <v>225</v>
      </c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5"/>
    </row>
    <row r="48" spans="1:49" ht="15" x14ac:dyDescent="0.25">
      <c r="AI48" s="316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8"/>
    </row>
    <row r="49" spans="35:47" ht="15" x14ac:dyDescent="0.25">
      <c r="AI49" s="316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8"/>
    </row>
    <row r="50" spans="35:47" ht="15" x14ac:dyDescent="0.25">
      <c r="AI50" s="319"/>
      <c r="AJ50" s="320"/>
      <c r="AK50" s="320"/>
      <c r="AL50" s="320"/>
      <c r="AM50" s="320"/>
      <c r="AN50" s="320"/>
      <c r="AO50" s="320"/>
      <c r="AP50" s="320"/>
      <c r="AQ50" s="320"/>
      <c r="AR50" s="320"/>
      <c r="AS50" s="320"/>
      <c r="AT50" s="320"/>
      <c r="AU50" s="321"/>
    </row>
    <row r="51" spans="35:47" ht="15" x14ac:dyDescent="0.25">
      <c r="AI51" s="319"/>
      <c r="AJ51" s="320"/>
      <c r="AK51" s="320"/>
      <c r="AL51" s="320"/>
      <c r="AM51" s="320"/>
      <c r="AN51" s="320"/>
      <c r="AO51" s="320"/>
      <c r="AP51" s="320"/>
      <c r="AQ51" s="320"/>
      <c r="AR51" s="320"/>
      <c r="AS51" s="320"/>
      <c r="AT51" s="320"/>
      <c r="AU51" s="321"/>
    </row>
    <row r="52" spans="35:47" ht="15" x14ac:dyDescent="0.25">
      <c r="AI52" s="322"/>
      <c r="AJ52" s="320"/>
      <c r="AK52" s="320"/>
      <c r="AL52" s="320"/>
      <c r="AM52" s="320"/>
      <c r="AN52" s="320"/>
      <c r="AO52" s="320"/>
      <c r="AP52" s="320"/>
      <c r="AQ52" s="320"/>
      <c r="AR52" s="320"/>
      <c r="AS52" s="320"/>
      <c r="AT52" s="320"/>
      <c r="AU52" s="321"/>
    </row>
    <row r="53" spans="35:47" ht="15" x14ac:dyDescent="0.25">
      <c r="AI53" s="322"/>
      <c r="AJ53" s="320"/>
      <c r="AK53" s="320"/>
      <c r="AL53" s="320"/>
      <c r="AM53" s="320"/>
      <c r="AN53" s="320"/>
      <c r="AO53" s="320"/>
      <c r="AP53" s="320"/>
      <c r="AQ53" s="320"/>
      <c r="AR53" s="320"/>
      <c r="AS53" s="320"/>
      <c r="AT53" s="320"/>
      <c r="AU53" s="321"/>
    </row>
    <row r="54" spans="35:47" ht="15" x14ac:dyDescent="0.25">
      <c r="AI54" s="319"/>
      <c r="AJ54" s="320"/>
      <c r="AK54" s="320"/>
      <c r="AL54" s="320"/>
      <c r="AM54" s="320"/>
      <c r="AN54" s="320"/>
      <c r="AO54" s="320"/>
      <c r="AP54" s="320"/>
      <c r="AQ54" s="320"/>
      <c r="AR54" s="320"/>
      <c r="AS54" s="320"/>
      <c r="AT54" s="320"/>
      <c r="AU54" s="321"/>
    </row>
    <row r="55" spans="35:47" ht="15" x14ac:dyDescent="0.25">
      <c r="AI55" s="319"/>
      <c r="AJ55" s="320"/>
      <c r="AK55" s="320"/>
      <c r="AL55" s="320"/>
      <c r="AM55" s="320"/>
      <c r="AN55" s="320"/>
      <c r="AO55" s="320"/>
      <c r="AP55" s="320"/>
      <c r="AQ55" s="320"/>
      <c r="AR55" s="320"/>
      <c r="AS55" s="320"/>
      <c r="AT55" s="320"/>
      <c r="AU55" s="321"/>
    </row>
    <row r="56" spans="35:47" ht="15" x14ac:dyDescent="0.25">
      <c r="AI56" s="319"/>
      <c r="AJ56" s="320"/>
      <c r="AK56" s="320"/>
      <c r="AL56" s="320"/>
      <c r="AM56" s="320"/>
      <c r="AN56" s="320"/>
      <c r="AO56" s="320"/>
      <c r="AP56" s="320"/>
      <c r="AQ56" s="320"/>
      <c r="AR56" s="320"/>
      <c r="AS56" s="320"/>
      <c r="AT56" s="320"/>
      <c r="AU56" s="321"/>
    </row>
    <row r="57" spans="35:47" ht="45" customHeight="1" x14ac:dyDescent="0.2">
      <c r="AI57" s="323"/>
      <c r="AJ57" s="324"/>
      <c r="AK57" s="324"/>
      <c r="AL57" s="324"/>
      <c r="AM57" s="324"/>
      <c r="AN57" s="324"/>
      <c r="AO57" s="324"/>
      <c r="AP57" s="324"/>
      <c r="AQ57" s="324"/>
      <c r="AR57" s="324"/>
      <c r="AS57" s="324"/>
      <c r="AT57" s="324"/>
      <c r="AU57" s="325"/>
    </row>
    <row r="58" spans="35:47" ht="33.75" customHeight="1" x14ac:dyDescent="0.2">
      <c r="AI58" s="326"/>
      <c r="AJ58" s="324"/>
      <c r="AK58" s="324"/>
      <c r="AL58" s="327"/>
      <c r="AM58" s="324"/>
      <c r="AN58" s="324"/>
      <c r="AO58" s="324"/>
      <c r="AP58" s="324"/>
      <c r="AQ58" s="324"/>
      <c r="AR58" s="324"/>
      <c r="AS58" s="324"/>
      <c r="AT58" s="324"/>
      <c r="AU58" s="328"/>
    </row>
    <row r="59" spans="35:47" ht="15" x14ac:dyDescent="0.2">
      <c r="AI59" s="329"/>
      <c r="AJ59" s="330"/>
      <c r="AK59" s="330"/>
      <c r="AL59" s="330"/>
      <c r="AM59" s="330"/>
      <c r="AN59" s="330"/>
      <c r="AO59" s="330"/>
      <c r="AP59" s="331"/>
      <c r="AQ59" s="331"/>
      <c r="AR59" s="330"/>
      <c r="AS59" s="330"/>
      <c r="AT59" s="331"/>
      <c r="AU59" s="332"/>
    </row>
    <row r="60" spans="35:47" ht="33.75" customHeight="1" x14ac:dyDescent="0.2">
      <c r="AI60" s="323"/>
      <c r="AJ60" s="324"/>
      <c r="AK60" s="324"/>
      <c r="AL60" s="324"/>
      <c r="AM60" s="324"/>
      <c r="AN60" s="324"/>
      <c r="AO60" s="324"/>
      <c r="AP60" s="324"/>
      <c r="AQ60" s="324"/>
      <c r="AR60" s="324"/>
      <c r="AS60" s="324"/>
      <c r="AT60" s="324"/>
      <c r="AU60" s="325"/>
    </row>
    <row r="61" spans="35:47" ht="33.75" customHeight="1" x14ac:dyDescent="0.2">
      <c r="AI61" s="326"/>
      <c r="AJ61" s="324"/>
      <c r="AK61" s="324"/>
      <c r="AL61" s="327"/>
      <c r="AM61" s="324"/>
      <c r="AN61" s="324"/>
      <c r="AO61" s="324"/>
      <c r="AP61" s="324"/>
      <c r="AQ61" s="324"/>
      <c r="AR61" s="324"/>
      <c r="AS61" s="324"/>
      <c r="AT61" s="324"/>
      <c r="AU61" s="328"/>
    </row>
    <row r="62" spans="35:47" ht="15" x14ac:dyDescent="0.2">
      <c r="AI62" s="329"/>
      <c r="AJ62" s="330"/>
      <c r="AK62" s="330"/>
      <c r="AL62" s="330"/>
      <c r="AM62" s="330"/>
      <c r="AN62" s="330"/>
      <c r="AO62" s="330"/>
      <c r="AP62" s="331"/>
      <c r="AQ62" s="331"/>
      <c r="AR62" s="330"/>
      <c r="AS62" s="330"/>
      <c r="AT62" s="331"/>
      <c r="AU62" s="332"/>
    </row>
    <row r="63" spans="35:47" x14ac:dyDescent="0.2">
      <c r="AI63" s="333"/>
      <c r="AJ63" s="334"/>
      <c r="AK63" s="334"/>
      <c r="AL63" s="334"/>
      <c r="AM63" s="334"/>
      <c r="AN63" s="334"/>
      <c r="AO63" s="334"/>
      <c r="AP63" s="334"/>
      <c r="AQ63" s="334"/>
      <c r="AR63" s="334"/>
      <c r="AS63" s="334"/>
      <c r="AT63" s="334"/>
      <c r="AU63" s="335"/>
    </row>
    <row r="64" spans="35:47" ht="15" x14ac:dyDescent="0.25">
      <c r="AI64" s="319"/>
      <c r="AJ64" s="320"/>
      <c r="AK64" s="320"/>
      <c r="AL64" s="320"/>
      <c r="AM64" s="320"/>
      <c r="AN64" s="320"/>
      <c r="AO64" s="320"/>
      <c r="AP64" s="320"/>
      <c r="AQ64" s="320"/>
      <c r="AR64" s="320"/>
      <c r="AS64" s="320"/>
      <c r="AT64" s="320"/>
      <c r="AU64" s="321"/>
    </row>
    <row r="65" spans="35:47" ht="15" x14ac:dyDescent="0.25">
      <c r="AI65" s="336"/>
      <c r="AJ65" s="320"/>
      <c r="AK65" s="320"/>
      <c r="AL65" s="320"/>
      <c r="AM65" s="320"/>
      <c r="AN65" s="320"/>
      <c r="AO65" s="320"/>
      <c r="AP65" s="320"/>
      <c r="AQ65" s="320"/>
      <c r="AR65" s="320"/>
      <c r="AS65" s="320"/>
      <c r="AT65" s="320"/>
      <c r="AU65" s="321"/>
    </row>
    <row r="66" spans="35:47" ht="27.75" customHeight="1" x14ac:dyDescent="0.25">
      <c r="AI66" s="336"/>
      <c r="AJ66" s="320"/>
      <c r="AK66" s="320"/>
      <c r="AL66" s="320"/>
      <c r="AM66" s="320"/>
      <c r="AN66" s="320"/>
      <c r="AO66" s="320"/>
      <c r="AP66" s="320"/>
      <c r="AQ66" s="320"/>
      <c r="AR66" s="320"/>
      <c r="AS66" s="320"/>
      <c r="AT66" s="320"/>
      <c r="AU66" s="321"/>
    </row>
    <row r="67" spans="35:47" ht="15" x14ac:dyDescent="0.2">
      <c r="AI67" s="337"/>
      <c r="AJ67" s="338"/>
      <c r="AK67" s="338"/>
      <c r="AL67" s="338"/>
      <c r="AM67" s="338"/>
      <c r="AN67" s="338"/>
      <c r="AO67" s="338"/>
      <c r="AP67" s="338"/>
      <c r="AQ67" s="338"/>
      <c r="AR67" s="338"/>
      <c r="AS67" s="338"/>
      <c r="AT67" s="338"/>
      <c r="AU67" s="339"/>
    </row>
    <row r="68" spans="35:47" ht="15" x14ac:dyDescent="0.25">
      <c r="AI68" s="336"/>
      <c r="AJ68" s="320"/>
      <c r="AK68" s="320"/>
      <c r="AL68" s="320"/>
      <c r="AM68" s="320"/>
      <c r="AN68" s="320"/>
      <c r="AO68" s="320"/>
      <c r="AP68" s="320"/>
      <c r="AQ68" s="320"/>
      <c r="AR68" s="320"/>
      <c r="AS68" s="320"/>
      <c r="AT68" s="320"/>
      <c r="AU68" s="321"/>
    </row>
    <row r="69" spans="35:47" ht="15" x14ac:dyDescent="0.25">
      <c r="AI69" s="340"/>
      <c r="AJ69" s="320"/>
      <c r="AK69" s="320"/>
      <c r="AL69" s="320"/>
      <c r="AM69" s="320"/>
      <c r="AN69" s="320"/>
      <c r="AO69" s="320"/>
      <c r="AP69" s="320"/>
      <c r="AQ69" s="320"/>
      <c r="AR69" s="320"/>
      <c r="AS69" s="320"/>
      <c r="AT69" s="320"/>
      <c r="AU69" s="321"/>
    </row>
    <row r="70" spans="35:47" ht="15" x14ac:dyDescent="0.25">
      <c r="AI70" s="319"/>
      <c r="AJ70" s="320"/>
      <c r="AK70" s="320"/>
      <c r="AL70" s="320"/>
      <c r="AM70" s="320"/>
      <c r="AN70" s="320"/>
      <c r="AO70" s="320"/>
      <c r="AP70" s="320"/>
      <c r="AQ70" s="320"/>
      <c r="AR70" s="320"/>
      <c r="AS70" s="320"/>
      <c r="AT70" s="320"/>
      <c r="AU70" s="321"/>
    </row>
    <row r="71" spans="35:47" ht="15" x14ac:dyDescent="0.25">
      <c r="AI71" s="319"/>
      <c r="AJ71" s="320"/>
      <c r="AK71" s="320"/>
      <c r="AL71" s="320"/>
      <c r="AM71" s="320"/>
      <c r="AN71" s="320"/>
      <c r="AO71" s="320"/>
      <c r="AP71" s="320"/>
      <c r="AQ71" s="320"/>
      <c r="AR71" s="320"/>
      <c r="AS71" s="320"/>
      <c r="AT71" s="320"/>
      <c r="AU71" s="321"/>
    </row>
    <row r="72" spans="35:47" ht="15" x14ac:dyDescent="0.25">
      <c r="AI72" s="319"/>
      <c r="AJ72" s="320"/>
      <c r="AK72" s="320"/>
      <c r="AL72" s="320"/>
      <c r="AM72" s="320"/>
      <c r="AN72" s="320"/>
      <c r="AO72" s="320"/>
      <c r="AP72" s="320"/>
      <c r="AQ72" s="320"/>
      <c r="AR72" s="320"/>
      <c r="AS72" s="320"/>
      <c r="AT72" s="320"/>
      <c r="AU72" s="321"/>
    </row>
    <row r="73" spans="35:47" ht="15" x14ac:dyDescent="0.25">
      <c r="AI73" s="341" t="s">
        <v>226</v>
      </c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8"/>
    </row>
    <row r="74" spans="35:47" ht="15" x14ac:dyDescent="0.25">
      <c r="AI74" s="341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8"/>
    </row>
    <row r="75" spans="35:47" ht="15" x14ac:dyDescent="0.25">
      <c r="AI75" s="341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8"/>
    </row>
    <row r="76" spans="35:47" ht="15" x14ac:dyDescent="0.25">
      <c r="AI76" s="341" t="s">
        <v>227</v>
      </c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8"/>
    </row>
    <row r="77" spans="35:47" ht="15" x14ac:dyDescent="0.25">
      <c r="AI77" s="342" t="s">
        <v>228</v>
      </c>
      <c r="AJ77" s="343"/>
      <c r="AK77" s="343"/>
      <c r="AL77" s="343"/>
      <c r="AM77" s="343"/>
      <c r="AN77" s="343"/>
      <c r="AO77" s="343"/>
      <c r="AP77" s="343"/>
      <c r="AQ77" s="343"/>
      <c r="AR77" s="343"/>
      <c r="AS77" s="343"/>
      <c r="AT77" s="343"/>
      <c r="AU77" s="344"/>
    </row>
  </sheetData>
  <mergeCells count="46">
    <mergeCell ref="AI67:AU67"/>
    <mergeCell ref="AI62:AJ62"/>
    <mergeCell ref="AK62:AM62"/>
    <mergeCell ref="AN62:AO62"/>
    <mergeCell ref="AP62:AQ62"/>
    <mergeCell ref="AR62:AS62"/>
    <mergeCell ref="AT62:AU62"/>
    <mergeCell ref="AI60:AU60"/>
    <mergeCell ref="AJ61:AK61"/>
    <mergeCell ref="AM61:AN61"/>
    <mergeCell ref="AO61:AP61"/>
    <mergeCell ref="AQ61:AR61"/>
    <mergeCell ref="AS61:AT61"/>
    <mergeCell ref="AI59:AJ59"/>
    <mergeCell ref="AK59:AM59"/>
    <mergeCell ref="AN59:AO59"/>
    <mergeCell ref="AP59:AQ59"/>
    <mergeCell ref="AR59:AS59"/>
    <mergeCell ref="AT59:AU59"/>
    <mergeCell ref="AI57:AU57"/>
    <mergeCell ref="AJ58:AK58"/>
    <mergeCell ref="AM58:AN58"/>
    <mergeCell ref="AO58:AP58"/>
    <mergeCell ref="AQ58:AR58"/>
    <mergeCell ref="AS58:AT58"/>
    <mergeCell ref="A25:C25"/>
    <mergeCell ref="T31:T32"/>
    <mergeCell ref="U31:U32"/>
    <mergeCell ref="V31:V32"/>
    <mergeCell ref="X31:X32"/>
    <mergeCell ref="T40:T41"/>
    <mergeCell ref="V40:V41"/>
    <mergeCell ref="W40:W41"/>
    <mergeCell ref="X40:X41"/>
    <mergeCell ref="AP3:AR3"/>
    <mergeCell ref="AS3:AU3"/>
    <mergeCell ref="AZ3:BB3"/>
    <mergeCell ref="BE3:BI3"/>
    <mergeCell ref="BK3:BO3"/>
    <mergeCell ref="A14:C14"/>
    <mergeCell ref="A3:C3"/>
    <mergeCell ref="J3:L3"/>
    <mergeCell ref="M3:O3"/>
    <mergeCell ref="T3:V3"/>
    <mergeCell ref="Y3:AC3"/>
    <mergeCell ref="AE3:AI3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M41"/>
  <sheetViews>
    <sheetView workbookViewId="0">
      <selection activeCell="M33" sqref="M33"/>
    </sheetView>
  </sheetViews>
  <sheetFormatPr defaultRowHeight="15" x14ac:dyDescent="0.25"/>
  <cols>
    <col min="2" max="2" width="13.5703125" bestFit="1" customWidth="1"/>
    <col min="3" max="3" width="29.85546875" bestFit="1" customWidth="1"/>
    <col min="10" max="10" width="11.85546875" bestFit="1" customWidth="1"/>
    <col min="11" max="11" width="16.7109375" customWidth="1"/>
    <col min="12" max="12" width="18" customWidth="1"/>
    <col min="13" max="15" width="13.28515625" customWidth="1"/>
    <col min="16" max="16" width="23.42578125" bestFit="1" customWidth="1"/>
    <col min="18" max="18" width="10.5703125" bestFit="1" customWidth="1"/>
  </cols>
  <sheetData>
    <row r="1" spans="2:18" ht="15.75" thickBot="1" x14ac:dyDescent="0.3"/>
    <row r="2" spans="2:18" x14ac:dyDescent="0.25">
      <c r="B2" s="69" t="s">
        <v>317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2:18" ht="15.75" thickBot="1" x14ac:dyDescent="0.3">
      <c r="B3" s="72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</row>
    <row r="4" spans="2:18" x14ac:dyDescent="0.25">
      <c r="B4" s="288" t="s">
        <v>175</v>
      </c>
      <c r="C4" s="288" t="s">
        <v>222</v>
      </c>
      <c r="D4" s="278" t="s">
        <v>156</v>
      </c>
      <c r="E4" s="279"/>
      <c r="F4" s="280"/>
      <c r="G4" s="278" t="s">
        <v>150</v>
      </c>
      <c r="H4" s="279"/>
      <c r="I4" s="280"/>
      <c r="J4" s="278" t="s">
        <v>220</v>
      </c>
      <c r="K4" s="279"/>
      <c r="L4" s="280"/>
      <c r="M4" s="278" t="s">
        <v>149</v>
      </c>
      <c r="N4" s="279"/>
      <c r="O4" s="280"/>
      <c r="P4" s="281" t="s">
        <v>152</v>
      </c>
      <c r="Q4" s="76"/>
      <c r="R4" s="136" t="s">
        <v>155</v>
      </c>
    </row>
    <row r="5" spans="2:18" ht="15.75" thickBot="1" x14ac:dyDescent="0.3">
      <c r="B5" s="289"/>
      <c r="C5" s="289"/>
      <c r="D5" s="132" t="s">
        <v>146</v>
      </c>
      <c r="E5" s="133" t="s">
        <v>147</v>
      </c>
      <c r="F5" s="134" t="s">
        <v>148</v>
      </c>
      <c r="G5" s="132" t="s">
        <v>146</v>
      </c>
      <c r="H5" s="133" t="s">
        <v>147</v>
      </c>
      <c r="I5" s="134" t="s">
        <v>148</v>
      </c>
      <c r="J5" s="132" t="s">
        <v>146</v>
      </c>
      <c r="K5" s="133" t="s">
        <v>147</v>
      </c>
      <c r="L5" s="134" t="s">
        <v>148</v>
      </c>
      <c r="M5" s="132" t="s">
        <v>146</v>
      </c>
      <c r="N5" s="133" t="s">
        <v>147</v>
      </c>
      <c r="O5" s="134" t="s">
        <v>148</v>
      </c>
      <c r="P5" s="282"/>
      <c r="Q5" s="76"/>
      <c r="R5" s="138">
        <v>2016</v>
      </c>
    </row>
    <row r="6" spans="2:18" ht="15.75" thickBot="1" x14ac:dyDescent="0.3">
      <c r="B6" s="139">
        <f>P6+R6</f>
        <v>153.39168799205643</v>
      </c>
      <c r="C6" s="137">
        <v>114.29649100237469</v>
      </c>
      <c r="D6" s="129">
        <f>'Connection Fees'!P27</f>
        <v>15.711498929437848</v>
      </c>
      <c r="E6" s="130">
        <f>'Connection Fees'!P28</f>
        <v>36.219309218895766</v>
      </c>
      <c r="F6" s="131">
        <f>'Connection Fees'!P29</f>
        <v>43.637267195279364</v>
      </c>
      <c r="G6" s="125">
        <v>30</v>
      </c>
      <c r="H6" s="85">
        <v>30</v>
      </c>
      <c r="I6" s="86">
        <v>30</v>
      </c>
      <c r="J6" s="122">
        <f>(((D6*2)+G6)/60)</f>
        <v>1.0237166309812615</v>
      </c>
      <c r="K6" s="123">
        <f t="shared" ref="K6:L6" si="0">(((E6*2)+H6)/60)</f>
        <v>1.7073103072965254</v>
      </c>
      <c r="L6" s="124">
        <f t="shared" si="0"/>
        <v>1.9545755731759789</v>
      </c>
      <c r="M6" s="126">
        <f>+'Connection Fees'!T5</f>
        <v>0.62108059655723491</v>
      </c>
      <c r="N6" s="127">
        <f>+'Connection Fees'!U5</f>
        <v>0.13906695051688653</v>
      </c>
      <c r="O6" s="128">
        <f>+'Connection Fees'!V5</f>
        <v>0.23985245292587853</v>
      </c>
      <c r="P6" s="135">
        <f>SUMPRODUCT(J6:L6,M6:O6)*C6</f>
        <v>153.39168799205643</v>
      </c>
      <c r="Q6" s="73"/>
      <c r="R6" s="137">
        <v>0</v>
      </c>
    </row>
    <row r="7" spans="2:18" ht="15.75" thickBot="1" x14ac:dyDescent="0.3">
      <c r="B7" s="139">
        <f>P7+R7</f>
        <v>57.148245501187347</v>
      </c>
      <c r="C7" s="137">
        <v>114.29649100237469</v>
      </c>
      <c r="D7" s="129"/>
      <c r="E7" s="130"/>
      <c r="F7" s="131"/>
      <c r="G7" s="125">
        <v>30</v>
      </c>
      <c r="H7" s="85">
        <v>30</v>
      </c>
      <c r="I7" s="86">
        <v>30</v>
      </c>
      <c r="J7" s="122">
        <f>(((D7*2)+G7)/60)</f>
        <v>0.5</v>
      </c>
      <c r="K7" s="123">
        <f>(((E7*2)+H7)/60)</f>
        <v>0.5</v>
      </c>
      <c r="L7" s="124">
        <f>(((F7*2)+I7)/60)</f>
        <v>0.5</v>
      </c>
      <c r="M7" s="126">
        <f>+'Connection Fees'!T6</f>
        <v>0.62108059655723491</v>
      </c>
      <c r="N7" s="127">
        <f>+'Connection Fees'!U6</f>
        <v>0.13906695051688653</v>
      </c>
      <c r="O7" s="128">
        <f>+'Connection Fees'!V6</f>
        <v>0.23985245292587853</v>
      </c>
      <c r="P7" s="135">
        <f>SUMPRODUCT(J7:L7,M7:O7)*C7</f>
        <v>57.148245501187347</v>
      </c>
      <c r="R7" s="137">
        <v>0</v>
      </c>
    </row>
    <row r="10" spans="2:18" ht="15.75" thickBot="1" x14ac:dyDescent="0.3"/>
    <row r="11" spans="2:18" x14ac:dyDescent="0.25">
      <c r="B11" s="69" t="s">
        <v>318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</row>
    <row r="12" spans="2:18" ht="15.75" thickBot="1" x14ac:dyDescent="0.3">
      <c r="B12" s="72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</row>
    <row r="13" spans="2:18" x14ac:dyDescent="0.25">
      <c r="B13" s="288" t="s">
        <v>221</v>
      </c>
      <c r="C13" s="288" t="s">
        <v>223</v>
      </c>
      <c r="D13" s="278" t="s">
        <v>156</v>
      </c>
      <c r="E13" s="279"/>
      <c r="F13" s="280"/>
      <c r="G13" s="278" t="s">
        <v>150</v>
      </c>
      <c r="H13" s="279"/>
      <c r="I13" s="280"/>
      <c r="J13" s="278" t="s">
        <v>220</v>
      </c>
      <c r="K13" s="279"/>
      <c r="L13" s="280"/>
      <c r="M13" s="278" t="s">
        <v>149</v>
      </c>
      <c r="N13" s="279"/>
      <c r="O13" s="280"/>
      <c r="P13" s="281" t="s">
        <v>152</v>
      </c>
      <c r="Q13" s="76"/>
      <c r="R13" s="136" t="s">
        <v>155</v>
      </c>
    </row>
    <row r="14" spans="2:18" ht="15.75" thickBot="1" x14ac:dyDescent="0.3">
      <c r="B14" s="289"/>
      <c r="C14" s="289"/>
      <c r="D14" s="132" t="s">
        <v>146</v>
      </c>
      <c r="E14" s="133" t="s">
        <v>147</v>
      </c>
      <c r="F14" s="134" t="s">
        <v>148</v>
      </c>
      <c r="G14" s="132" t="s">
        <v>146</v>
      </c>
      <c r="H14" s="133" t="s">
        <v>147</v>
      </c>
      <c r="I14" s="134" t="s">
        <v>148</v>
      </c>
      <c r="J14" s="132" t="s">
        <v>146</v>
      </c>
      <c r="K14" s="133" t="s">
        <v>147</v>
      </c>
      <c r="L14" s="134" t="s">
        <v>148</v>
      </c>
      <c r="M14" s="132" t="s">
        <v>146</v>
      </c>
      <c r="N14" s="133" t="s">
        <v>147</v>
      </c>
      <c r="O14" s="134" t="s">
        <v>148</v>
      </c>
      <c r="P14" s="282"/>
      <c r="Q14" s="76"/>
      <c r="R14" s="138">
        <v>2016</v>
      </c>
    </row>
    <row r="15" spans="2:18" ht="15.75" thickBot="1" x14ac:dyDescent="0.3">
      <c r="B15" s="139">
        <f>P15+R15</f>
        <v>181.96581074265015</v>
      </c>
      <c r="C15" s="137">
        <v>114.29649100237469</v>
      </c>
      <c r="D15" s="129">
        <f>D6</f>
        <v>15.711498929437848</v>
      </c>
      <c r="E15" s="130">
        <f t="shared" ref="E15:F15" si="1">E6</f>
        <v>36.219309218895766</v>
      </c>
      <c r="F15" s="131">
        <f t="shared" si="1"/>
        <v>43.637267195279364</v>
      </c>
      <c r="G15" s="125">
        <v>45</v>
      </c>
      <c r="H15" s="85">
        <v>45</v>
      </c>
      <c r="I15" s="86">
        <v>45</v>
      </c>
      <c r="J15" s="122">
        <f t="shared" ref="J15:L16" si="2">(((D15*2)+G15)/60)</f>
        <v>1.2737166309812618</v>
      </c>
      <c r="K15" s="123">
        <f t="shared" si="2"/>
        <v>1.9573103072965254</v>
      </c>
      <c r="L15" s="124">
        <f t="shared" si="2"/>
        <v>2.2045755731759789</v>
      </c>
      <c r="M15" s="126">
        <f>M6</f>
        <v>0.62108059655723491</v>
      </c>
      <c r="N15" s="127">
        <f t="shared" ref="N15:O16" si="3">N6</f>
        <v>0.13906695051688653</v>
      </c>
      <c r="O15" s="128">
        <f t="shared" si="3"/>
        <v>0.23985245292587853</v>
      </c>
      <c r="P15" s="135">
        <f>SUMPRODUCT(J15:L15,M15:O15)*C15</f>
        <v>181.96581074265015</v>
      </c>
      <c r="Q15" s="73"/>
      <c r="R15" s="137">
        <v>0</v>
      </c>
    </row>
    <row r="16" spans="2:18" ht="15.75" thickBot="1" x14ac:dyDescent="0.3">
      <c r="B16" s="139">
        <f>P16+R16</f>
        <v>85.72236825178102</v>
      </c>
      <c r="C16" s="137">
        <v>114.29649100237469</v>
      </c>
      <c r="D16" s="129"/>
      <c r="E16" s="130"/>
      <c r="F16" s="131"/>
      <c r="G16" s="125">
        <v>45</v>
      </c>
      <c r="H16" s="85">
        <v>45</v>
      </c>
      <c r="I16" s="86">
        <v>45</v>
      </c>
      <c r="J16" s="122">
        <f t="shared" si="2"/>
        <v>0.75</v>
      </c>
      <c r="K16" s="123">
        <f t="shared" si="2"/>
        <v>0.75</v>
      </c>
      <c r="L16" s="124">
        <f t="shared" si="2"/>
        <v>0.75</v>
      </c>
      <c r="M16" s="126">
        <f>M7</f>
        <v>0.62108059655723491</v>
      </c>
      <c r="N16" s="127">
        <f t="shared" si="3"/>
        <v>0.13906695051688653</v>
      </c>
      <c r="O16" s="128">
        <f t="shared" si="3"/>
        <v>0.23985245292587853</v>
      </c>
      <c r="P16" s="135">
        <f>SUMPRODUCT(J16:L16,M16:O16)*C16</f>
        <v>85.72236825178102</v>
      </c>
      <c r="R16" s="137">
        <v>0</v>
      </c>
    </row>
    <row r="19" spans="1:39" ht="15.75" thickBot="1" x14ac:dyDescent="0.3"/>
    <row r="20" spans="1:39" x14ac:dyDescent="0.25">
      <c r="B20" s="69" t="s">
        <v>324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U20" s="247" t="s">
        <v>225</v>
      </c>
      <c r="V20" s="248"/>
      <c r="W20" s="248"/>
      <c r="X20" s="248"/>
      <c r="Y20" s="248"/>
      <c r="Z20" s="248"/>
      <c r="AA20" s="248"/>
      <c r="AB20" s="248"/>
      <c r="AC20" s="248"/>
      <c r="AD20" s="248"/>
      <c r="AE20" s="248"/>
      <c r="AF20" s="248"/>
      <c r="AG20" s="248"/>
      <c r="AH20" s="248"/>
      <c r="AI20" s="248"/>
      <c r="AJ20" s="248"/>
      <c r="AK20" s="248"/>
      <c r="AL20" s="248"/>
      <c r="AM20" s="249"/>
    </row>
    <row r="21" spans="1:39" ht="15.75" thickBot="1" x14ac:dyDescent="0.3">
      <c r="B21" s="72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U21" s="250"/>
      <c r="V21" s="251"/>
      <c r="W21" s="251"/>
      <c r="X21" s="251"/>
      <c r="Y21" s="251"/>
      <c r="Z21" s="251"/>
      <c r="AA21" s="251"/>
      <c r="AB21" s="251"/>
      <c r="AC21" s="251"/>
      <c r="AD21" s="251"/>
      <c r="AE21" s="251"/>
      <c r="AF21" s="251"/>
      <c r="AG21" s="251"/>
      <c r="AH21" s="251"/>
      <c r="AI21" s="251"/>
      <c r="AJ21" s="251"/>
      <c r="AK21" s="251"/>
      <c r="AL21" s="251"/>
      <c r="AM21" s="252"/>
    </row>
    <row r="22" spans="1:39" x14ac:dyDescent="0.25">
      <c r="B22" s="288" t="s">
        <v>175</v>
      </c>
      <c r="C22" s="288" t="s">
        <v>325</v>
      </c>
      <c r="D22" s="278" t="s">
        <v>156</v>
      </c>
      <c r="E22" s="279"/>
      <c r="F22" s="280"/>
      <c r="G22" s="278" t="s">
        <v>150</v>
      </c>
      <c r="H22" s="279"/>
      <c r="I22" s="280"/>
      <c r="J22" s="278" t="s">
        <v>220</v>
      </c>
      <c r="K22" s="279"/>
      <c r="L22" s="280"/>
      <c r="M22" s="278" t="s">
        <v>149</v>
      </c>
      <c r="N22" s="279"/>
      <c r="O22" s="280"/>
      <c r="P22" s="281" t="s">
        <v>152</v>
      </c>
      <c r="Q22" s="76"/>
      <c r="R22" s="136" t="s">
        <v>155</v>
      </c>
      <c r="U22" s="250" t="s">
        <v>328</v>
      </c>
      <c r="V22" s="251"/>
      <c r="W22" s="251"/>
      <c r="X22" s="251"/>
      <c r="Y22" s="251"/>
      <c r="Z22" s="251"/>
      <c r="AA22" s="251"/>
      <c r="AB22" s="251"/>
      <c r="AC22" s="251"/>
      <c r="AD22" s="251"/>
      <c r="AE22" s="251"/>
      <c r="AF22" s="251"/>
      <c r="AG22" s="251"/>
      <c r="AH22" s="251"/>
      <c r="AI22" s="251"/>
      <c r="AJ22" s="251"/>
      <c r="AK22" s="251"/>
      <c r="AL22" s="251"/>
      <c r="AM22" s="252"/>
    </row>
    <row r="23" spans="1:39" ht="15.75" thickBot="1" x14ac:dyDescent="0.3">
      <c r="B23" s="289"/>
      <c r="C23" s="289"/>
      <c r="D23" s="132" t="s">
        <v>146</v>
      </c>
      <c r="E23" s="133" t="s">
        <v>147</v>
      </c>
      <c r="F23" s="134" t="s">
        <v>148</v>
      </c>
      <c r="G23" s="132" t="s">
        <v>146</v>
      </c>
      <c r="H23" s="133" t="s">
        <v>147</v>
      </c>
      <c r="I23" s="134" t="s">
        <v>148</v>
      </c>
      <c r="J23" s="132" t="s">
        <v>146</v>
      </c>
      <c r="K23" s="133" t="s">
        <v>147</v>
      </c>
      <c r="L23" s="134" t="s">
        <v>148</v>
      </c>
      <c r="M23" s="132" t="s">
        <v>146</v>
      </c>
      <c r="N23" s="133" t="s">
        <v>147</v>
      </c>
      <c r="O23" s="134" t="s">
        <v>148</v>
      </c>
      <c r="P23" s="282"/>
      <c r="Q23" s="76"/>
      <c r="R23" s="138">
        <v>2016</v>
      </c>
      <c r="U23" s="250"/>
      <c r="V23" s="251"/>
      <c r="W23" s="251"/>
      <c r="X23" s="251"/>
      <c r="Y23" s="251"/>
      <c r="Z23" s="251"/>
      <c r="AA23" s="251"/>
      <c r="AB23" s="251"/>
      <c r="AC23" s="251"/>
      <c r="AD23" s="251"/>
      <c r="AE23" s="251"/>
      <c r="AF23" s="251"/>
      <c r="AG23" s="251"/>
      <c r="AH23" s="251"/>
      <c r="AI23" s="251"/>
      <c r="AJ23" s="251"/>
      <c r="AK23" s="251"/>
      <c r="AL23" s="251"/>
      <c r="AM23" s="252"/>
    </row>
    <row r="24" spans="1:39" ht="15.75" thickBot="1" x14ac:dyDescent="0.3">
      <c r="A24" t="s">
        <v>327</v>
      </c>
      <c r="B24" s="139">
        <f>P24+R24</f>
        <v>142.87061375296838</v>
      </c>
      <c r="C24" s="137">
        <v>114.29649100237469</v>
      </c>
      <c r="D24" s="347">
        <f>'Connection Fees'!P45</f>
        <v>0</v>
      </c>
      <c r="E24" s="130">
        <f>'Connection Fees'!N46</f>
        <v>0</v>
      </c>
      <c r="F24" s="131">
        <f>'Connection Fees'!P47</f>
        <v>0</v>
      </c>
      <c r="G24" s="125">
        <v>75</v>
      </c>
      <c r="H24" s="85">
        <v>75</v>
      </c>
      <c r="I24" s="86">
        <v>75</v>
      </c>
      <c r="J24" s="122">
        <f>(((D24*2)+G24)/60)</f>
        <v>1.25</v>
      </c>
      <c r="K24" s="123">
        <f t="shared" ref="K24" si="4">(((E24*2)+H24)/60)</f>
        <v>1.25</v>
      </c>
      <c r="L24" s="124">
        <f t="shared" ref="L24" si="5">(((F24*2)+I24)/60)</f>
        <v>1.25</v>
      </c>
      <c r="M24" s="126">
        <f>+'Connection Fees'!T23</f>
        <v>0.62108059655723491</v>
      </c>
      <c r="N24" s="127">
        <f>+'Connection Fees'!U23</f>
        <v>0.13906695051688653</v>
      </c>
      <c r="O24" s="128">
        <f>+'Connection Fees'!V23</f>
        <v>0.23985245292587853</v>
      </c>
      <c r="P24" s="135">
        <f>SUMPRODUCT(J24:L24,M24:O24)*C24</f>
        <v>142.87061375296838</v>
      </c>
      <c r="Q24" s="73"/>
      <c r="R24" s="137">
        <v>0</v>
      </c>
      <c r="U24" s="285" t="s">
        <v>329</v>
      </c>
      <c r="V24" s="286"/>
      <c r="W24" s="286"/>
      <c r="X24" s="286"/>
      <c r="Y24" s="286"/>
      <c r="Z24" s="286"/>
      <c r="AA24" s="286"/>
      <c r="AB24" s="286"/>
      <c r="AC24" s="286"/>
      <c r="AD24" s="286"/>
      <c r="AE24" s="286"/>
      <c r="AF24" s="286"/>
      <c r="AG24" s="286"/>
      <c r="AH24" s="286"/>
      <c r="AI24" s="286"/>
      <c r="AJ24" s="286"/>
      <c r="AK24" s="286"/>
      <c r="AL24" s="286"/>
      <c r="AM24" s="287"/>
    </row>
    <row r="25" spans="1:39" ht="15.75" thickBot="1" x14ac:dyDescent="0.3">
      <c r="A25" t="s">
        <v>326</v>
      </c>
      <c r="B25" s="139">
        <f>P25+R25</f>
        <v>189.39616601840038</v>
      </c>
      <c r="C25" s="137">
        <v>126.26411067893359</v>
      </c>
      <c r="D25" s="129">
        <v>0</v>
      </c>
      <c r="E25" s="130">
        <v>0</v>
      </c>
      <c r="F25" s="131">
        <v>0</v>
      </c>
      <c r="G25" s="125">
        <v>75</v>
      </c>
      <c r="H25" s="85">
        <v>75</v>
      </c>
      <c r="I25" s="86">
        <v>75</v>
      </c>
      <c r="J25" s="122">
        <v>1.5</v>
      </c>
      <c r="K25" s="123">
        <v>1.5</v>
      </c>
      <c r="L25" s="124">
        <v>1.5</v>
      </c>
      <c r="M25" s="126">
        <f>+M7</f>
        <v>0.62108059655723491</v>
      </c>
      <c r="N25" s="127">
        <f t="shared" ref="N25:O25" si="6">+N7</f>
        <v>0.13906695051688653</v>
      </c>
      <c r="O25" s="128">
        <f t="shared" si="6"/>
        <v>0.23985245292587853</v>
      </c>
      <c r="P25" s="135">
        <f>SUMPRODUCT(J25:L25,M25:O25)*C25</f>
        <v>189.39616601840038</v>
      </c>
      <c r="R25" s="137">
        <v>0</v>
      </c>
      <c r="U25" s="285"/>
      <c r="V25" s="286"/>
      <c r="W25" s="286"/>
      <c r="X25" s="286"/>
      <c r="Y25" s="286"/>
      <c r="Z25" s="286"/>
      <c r="AA25" s="286"/>
      <c r="AB25" s="286"/>
      <c r="AC25" s="286"/>
      <c r="AD25" s="286"/>
      <c r="AE25" s="286"/>
      <c r="AF25" s="286"/>
      <c r="AG25" s="286"/>
      <c r="AH25" s="286"/>
      <c r="AI25" s="286"/>
      <c r="AJ25" s="286"/>
      <c r="AK25" s="286"/>
      <c r="AL25" s="286"/>
      <c r="AM25" s="287"/>
    </row>
    <row r="26" spans="1:39" x14ac:dyDescent="0.25">
      <c r="U26" s="250" t="s">
        <v>330</v>
      </c>
      <c r="V26" s="251"/>
      <c r="W26" s="251"/>
      <c r="X26" s="251"/>
      <c r="Y26" s="251"/>
      <c r="Z26" s="251"/>
      <c r="AA26" s="251"/>
      <c r="AB26" s="251"/>
      <c r="AC26" s="251"/>
      <c r="AD26" s="251"/>
      <c r="AE26" s="251"/>
      <c r="AF26" s="251"/>
      <c r="AG26" s="251"/>
      <c r="AH26" s="251"/>
      <c r="AI26" s="251"/>
      <c r="AJ26" s="251"/>
      <c r="AK26" s="251"/>
      <c r="AL26" s="251"/>
      <c r="AM26" s="252"/>
    </row>
    <row r="27" spans="1:39" x14ac:dyDescent="0.25">
      <c r="U27" s="250" t="s">
        <v>331</v>
      </c>
      <c r="V27" s="251"/>
      <c r="W27" s="251"/>
      <c r="X27" s="251"/>
      <c r="Y27" s="251"/>
      <c r="Z27" s="251"/>
      <c r="AA27" s="251"/>
      <c r="AB27" s="251"/>
      <c r="AC27" s="251"/>
      <c r="AD27" s="251"/>
      <c r="AE27" s="251"/>
      <c r="AF27" s="251"/>
      <c r="AG27" s="251"/>
      <c r="AH27" s="251"/>
      <c r="AI27" s="251"/>
      <c r="AJ27" s="251"/>
      <c r="AK27" s="251"/>
      <c r="AL27" s="251"/>
      <c r="AM27" s="252"/>
    </row>
    <row r="28" spans="1:39" x14ac:dyDescent="0.25">
      <c r="U28" s="250" t="s">
        <v>332</v>
      </c>
      <c r="V28" s="251"/>
      <c r="W28" s="251"/>
      <c r="X28" s="251"/>
      <c r="Y28" s="251"/>
      <c r="Z28" s="251"/>
      <c r="AA28" s="251"/>
      <c r="AB28" s="251"/>
      <c r="AC28" s="251"/>
      <c r="AD28" s="251"/>
      <c r="AE28" s="251"/>
      <c r="AF28" s="251"/>
      <c r="AG28" s="251"/>
      <c r="AH28" s="251"/>
      <c r="AI28" s="251"/>
      <c r="AJ28" s="251"/>
      <c r="AK28" s="251"/>
      <c r="AL28" s="251"/>
      <c r="AM28" s="252"/>
    </row>
    <row r="29" spans="1:39" x14ac:dyDescent="0.25">
      <c r="U29" s="250"/>
      <c r="V29" s="251"/>
      <c r="W29" s="251"/>
      <c r="X29" s="251"/>
      <c r="Y29" s="251"/>
      <c r="Z29" s="251"/>
      <c r="AA29" s="251"/>
      <c r="AB29" s="251"/>
      <c r="AC29" s="251"/>
      <c r="AD29" s="251"/>
      <c r="AE29" s="251"/>
      <c r="AF29" s="251"/>
      <c r="AG29" s="251"/>
      <c r="AH29" s="251"/>
      <c r="AI29" s="251"/>
      <c r="AJ29" s="251"/>
      <c r="AK29" s="251"/>
      <c r="AL29" s="251"/>
      <c r="AM29" s="252"/>
    </row>
    <row r="30" spans="1:39" x14ac:dyDescent="0.25">
      <c r="U30" s="250" t="s">
        <v>333</v>
      </c>
      <c r="V30" s="251"/>
      <c r="W30" s="251"/>
      <c r="X30" s="251"/>
      <c r="Y30" s="251"/>
      <c r="Z30" s="251"/>
      <c r="AA30" s="251"/>
      <c r="AB30" s="251"/>
      <c r="AC30" s="251"/>
      <c r="AD30" s="251"/>
      <c r="AE30" s="251"/>
      <c r="AF30" s="251"/>
      <c r="AG30" s="251"/>
      <c r="AH30" s="251"/>
      <c r="AI30" s="251"/>
      <c r="AJ30" s="251"/>
      <c r="AK30" s="251"/>
      <c r="AL30" s="251"/>
      <c r="AM30" s="252"/>
    </row>
    <row r="31" spans="1:39" x14ac:dyDescent="0.25">
      <c r="U31" s="250"/>
      <c r="V31" s="251"/>
      <c r="W31" s="251"/>
      <c r="X31" s="251"/>
      <c r="Y31" s="251"/>
      <c r="Z31" s="251"/>
      <c r="AA31" s="251"/>
      <c r="AB31" s="251"/>
      <c r="AC31" s="251"/>
      <c r="AD31" s="251"/>
      <c r="AE31" s="251"/>
      <c r="AF31" s="251"/>
      <c r="AG31" s="251"/>
      <c r="AH31" s="251"/>
      <c r="AI31" s="251"/>
      <c r="AJ31" s="251"/>
      <c r="AK31" s="251"/>
      <c r="AL31" s="251"/>
      <c r="AM31" s="252"/>
    </row>
    <row r="32" spans="1:39" x14ac:dyDescent="0.25">
      <c r="U32" s="250"/>
      <c r="V32" s="251"/>
      <c r="W32" s="251"/>
      <c r="X32" s="251"/>
      <c r="Y32" s="251"/>
      <c r="Z32" s="251"/>
      <c r="AA32" s="251"/>
      <c r="AB32" s="251"/>
      <c r="AC32" s="251"/>
      <c r="AD32" s="251"/>
      <c r="AE32" s="251"/>
      <c r="AF32" s="251"/>
      <c r="AG32" s="251"/>
      <c r="AH32" s="251"/>
      <c r="AI32" s="251"/>
      <c r="AJ32" s="251"/>
      <c r="AK32" s="251"/>
      <c r="AL32" s="251"/>
      <c r="AM32" s="252"/>
    </row>
    <row r="33" spans="21:39" x14ac:dyDescent="0.25">
      <c r="U33" s="253"/>
      <c r="V33" s="254"/>
      <c r="W33" s="251"/>
      <c r="X33" s="251"/>
      <c r="Y33" s="283" t="s">
        <v>334</v>
      </c>
      <c r="Z33" s="283"/>
      <c r="AA33" s="283"/>
      <c r="AB33" s="283"/>
      <c r="AC33" s="283"/>
      <c r="AD33" s="251"/>
      <c r="AE33" s="251"/>
      <c r="AF33" s="251"/>
      <c r="AG33" s="251"/>
      <c r="AH33" s="251"/>
      <c r="AI33" s="251"/>
      <c r="AJ33" s="251"/>
      <c r="AK33" s="251"/>
      <c r="AL33" s="251"/>
      <c r="AM33" s="252"/>
    </row>
    <row r="34" spans="21:39" x14ac:dyDescent="0.25">
      <c r="U34" s="253"/>
      <c r="V34" s="251"/>
      <c r="W34" s="251"/>
      <c r="X34" s="251"/>
      <c r="Y34" s="284" t="s">
        <v>335</v>
      </c>
      <c r="Z34" s="284"/>
      <c r="AA34" s="284"/>
      <c r="AB34" s="284"/>
      <c r="AC34" s="284"/>
      <c r="AD34" s="251"/>
      <c r="AE34" s="251"/>
      <c r="AF34" s="251"/>
      <c r="AG34" s="251"/>
      <c r="AH34" s="251"/>
      <c r="AI34" s="251"/>
      <c r="AJ34" s="251"/>
      <c r="AK34" s="251"/>
      <c r="AL34" s="251"/>
      <c r="AM34" s="252"/>
    </row>
    <row r="35" spans="21:39" x14ac:dyDescent="0.25">
      <c r="U35" s="253"/>
      <c r="V35" s="251"/>
      <c r="W35" s="251"/>
      <c r="X35" s="251"/>
      <c r="Y35" s="255" t="s">
        <v>338</v>
      </c>
      <c r="Z35" s="255"/>
      <c r="AA35" s="255"/>
      <c r="AB35" s="255"/>
      <c r="AC35" s="255"/>
      <c r="AD35" s="251"/>
      <c r="AE35" s="251"/>
      <c r="AF35" s="251"/>
      <c r="AG35" s="251"/>
      <c r="AH35" s="251"/>
      <c r="AI35" s="251"/>
      <c r="AJ35" s="251"/>
      <c r="AK35" s="251"/>
      <c r="AL35" s="251"/>
      <c r="AM35" s="252"/>
    </row>
    <row r="36" spans="21:39" x14ac:dyDescent="0.25">
      <c r="U36" s="253"/>
      <c r="V36" s="251"/>
      <c r="W36" s="251"/>
      <c r="X36" s="251"/>
      <c r="Y36" s="255" t="s">
        <v>339</v>
      </c>
      <c r="Z36" s="255"/>
      <c r="AA36" s="255"/>
      <c r="AB36" s="255"/>
      <c r="AC36" s="255"/>
      <c r="AD36" s="251"/>
      <c r="AE36" s="251"/>
      <c r="AF36" s="251"/>
      <c r="AG36" s="251"/>
      <c r="AH36" s="251"/>
      <c r="AI36" s="251"/>
      <c r="AJ36" s="251"/>
      <c r="AK36" s="251"/>
      <c r="AL36" s="251"/>
      <c r="AM36" s="252"/>
    </row>
    <row r="37" spans="21:39" x14ac:dyDescent="0.25">
      <c r="U37" s="256"/>
      <c r="V37" s="251"/>
      <c r="W37" s="251"/>
      <c r="X37" s="251"/>
      <c r="Y37" s="257" t="s">
        <v>336</v>
      </c>
      <c r="Z37" s="257"/>
      <c r="AA37" s="257"/>
      <c r="AB37" s="257"/>
      <c r="AC37" s="257"/>
      <c r="AD37" s="251"/>
      <c r="AE37" s="251"/>
      <c r="AF37" s="251"/>
      <c r="AG37" s="251"/>
      <c r="AH37" s="251"/>
      <c r="AI37" s="251"/>
      <c r="AJ37" s="251"/>
      <c r="AK37" s="251"/>
      <c r="AL37" s="251"/>
      <c r="AM37" s="252"/>
    </row>
    <row r="38" spans="21:39" x14ac:dyDescent="0.25">
      <c r="U38" s="256"/>
      <c r="V38" s="251"/>
      <c r="W38" s="251"/>
      <c r="X38" s="251"/>
      <c r="Y38" s="257" t="s">
        <v>337</v>
      </c>
      <c r="Z38" s="257"/>
      <c r="AA38" s="257"/>
      <c r="AB38" s="257"/>
      <c r="AC38" s="257"/>
      <c r="AD38" s="251"/>
      <c r="AE38" s="251"/>
      <c r="AF38" s="251"/>
      <c r="AG38" s="251"/>
      <c r="AH38" s="251"/>
      <c r="AI38" s="251"/>
      <c r="AJ38" s="251"/>
      <c r="AK38" s="251"/>
      <c r="AL38" s="251"/>
      <c r="AM38" s="252"/>
    </row>
    <row r="39" spans="21:39" x14ac:dyDescent="0.25">
      <c r="U39" s="258" t="s">
        <v>340</v>
      </c>
      <c r="V39" s="251"/>
      <c r="W39" s="251"/>
      <c r="X39" s="251"/>
      <c r="Y39" s="251"/>
      <c r="Z39" s="251"/>
      <c r="AA39" s="251"/>
      <c r="AB39" s="251"/>
      <c r="AC39" s="251"/>
      <c r="AD39" s="251"/>
      <c r="AE39" s="251"/>
      <c r="AF39" s="251"/>
      <c r="AG39" s="251"/>
      <c r="AH39" s="251"/>
      <c r="AI39" s="251"/>
      <c r="AJ39" s="251"/>
      <c r="AK39" s="251"/>
      <c r="AL39" s="251"/>
      <c r="AM39" s="252"/>
    </row>
    <row r="40" spans="21:39" x14ac:dyDescent="0.25">
      <c r="U40" s="259" t="s">
        <v>341</v>
      </c>
      <c r="V40" s="251"/>
      <c r="W40" s="251"/>
      <c r="X40" s="251"/>
      <c r="Y40" s="251"/>
      <c r="Z40" s="251"/>
      <c r="AA40" s="251"/>
      <c r="AB40" s="251"/>
      <c r="AC40" s="251"/>
      <c r="AD40" s="251"/>
      <c r="AE40" s="251"/>
      <c r="AF40" s="251"/>
      <c r="AG40" s="251"/>
      <c r="AH40" s="251"/>
      <c r="AI40" s="251"/>
      <c r="AJ40" s="251"/>
      <c r="AK40" s="251"/>
      <c r="AL40" s="251"/>
      <c r="AM40" s="252"/>
    </row>
    <row r="41" spans="21:39" x14ac:dyDescent="0.25">
      <c r="U41" s="260"/>
      <c r="V41" s="261"/>
      <c r="W41" s="261"/>
      <c r="X41" s="261"/>
      <c r="Y41" s="261"/>
      <c r="Z41" s="261"/>
      <c r="AA41" s="261"/>
      <c r="AB41" s="261"/>
      <c r="AC41" s="261"/>
      <c r="AD41" s="261"/>
      <c r="AE41" s="261"/>
      <c r="AF41" s="261"/>
      <c r="AG41" s="261"/>
      <c r="AH41" s="261"/>
      <c r="AI41" s="261"/>
      <c r="AJ41" s="261"/>
      <c r="AK41" s="261"/>
      <c r="AL41" s="261"/>
      <c r="AM41" s="262"/>
    </row>
  </sheetData>
  <mergeCells count="24">
    <mergeCell ref="P13:P14"/>
    <mergeCell ref="P4:P5"/>
    <mergeCell ref="C4:C5"/>
    <mergeCell ref="B4:B5"/>
    <mergeCell ref="B13:B14"/>
    <mergeCell ref="C13:C14"/>
    <mergeCell ref="D13:F13"/>
    <mergeCell ref="G13:I13"/>
    <mergeCell ref="J13:L13"/>
    <mergeCell ref="M13:O13"/>
    <mergeCell ref="D4:F4"/>
    <mergeCell ref="G4:I4"/>
    <mergeCell ref="M4:O4"/>
    <mergeCell ref="J4:L4"/>
    <mergeCell ref="B22:B23"/>
    <mergeCell ref="C22:C23"/>
    <mergeCell ref="D22:F22"/>
    <mergeCell ref="G22:I22"/>
    <mergeCell ref="J22:L22"/>
    <mergeCell ref="M22:O22"/>
    <mergeCell ref="P22:P23"/>
    <mergeCell ref="Y33:AC33"/>
    <mergeCell ref="Y34:AC34"/>
    <mergeCell ref="U24:AM25"/>
  </mergeCells>
  <hyperlinks>
    <hyperlink ref="Y37" r:id="rId1" display="mailto:amanda.hurley@select-solutions.com.au"/>
    <hyperlink ref="Y38" r:id="rId2" display="http://www.select-solutions.com.au/"/>
  </hyperlinks>
  <pageMargins left="0.7" right="0.7" top="0.75" bottom="0.75" header="0.3" footer="0.3"/>
  <pageSetup paperSize="9" orientation="portrait" verticalDpi="0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O27"/>
  <sheetViews>
    <sheetView workbookViewId="0">
      <selection activeCell="K33" sqref="K33"/>
    </sheetView>
  </sheetViews>
  <sheetFormatPr defaultRowHeight="15" x14ac:dyDescent="0.25"/>
  <cols>
    <col min="1" max="1" width="7" customWidth="1"/>
    <col min="2" max="2" width="60.28515625" customWidth="1"/>
    <col min="3" max="3" width="8.42578125" bestFit="1" customWidth="1"/>
    <col min="4" max="4" width="10.85546875" bestFit="1" customWidth="1"/>
    <col min="5" max="5" width="6.85546875" bestFit="1" customWidth="1"/>
    <col min="6" max="6" width="6.7109375" bestFit="1" customWidth="1"/>
    <col min="7" max="7" width="3.28515625" customWidth="1"/>
    <col min="8" max="8" width="16.42578125" customWidth="1"/>
    <col min="9" max="9" width="17.85546875" bestFit="1" customWidth="1"/>
    <col min="10" max="10" width="4.140625" customWidth="1"/>
    <col min="11" max="11" width="10.5703125" bestFit="1" customWidth="1"/>
    <col min="12" max="12" width="14.140625" bestFit="1" customWidth="1"/>
    <col min="13" max="13" width="16.85546875" customWidth="1"/>
  </cols>
  <sheetData>
    <row r="1" spans="1:15" x14ac:dyDescent="0.25">
      <c r="B1" s="215" t="s">
        <v>270</v>
      </c>
    </row>
    <row r="2" spans="1:15" ht="21.75" customHeight="1" x14ac:dyDescent="0.25">
      <c r="B2" s="214"/>
      <c r="C2" s="214"/>
      <c r="D2" s="214"/>
      <c r="E2" s="214"/>
      <c r="F2" s="156"/>
      <c r="G2" s="160"/>
      <c r="H2" s="160"/>
      <c r="I2" s="160"/>
      <c r="K2" s="156"/>
    </row>
    <row r="3" spans="1:15" ht="39" x14ac:dyDescent="0.25">
      <c r="A3" s="213"/>
      <c r="B3" s="212"/>
      <c r="C3" s="211" t="s">
        <v>269</v>
      </c>
      <c r="D3" s="210"/>
      <c r="E3" s="210"/>
      <c r="F3" s="209"/>
      <c r="G3" s="208"/>
      <c r="H3" s="207" t="s">
        <v>268</v>
      </c>
      <c r="I3" s="206" t="s">
        <v>267</v>
      </c>
      <c r="K3" s="205"/>
      <c r="L3" s="205"/>
      <c r="M3" s="205"/>
    </row>
    <row r="4" spans="1:15" x14ac:dyDescent="0.25">
      <c r="A4" s="192" t="s">
        <v>266</v>
      </c>
      <c r="B4" s="190" t="s">
        <v>265</v>
      </c>
      <c r="C4" s="204" t="s">
        <v>264</v>
      </c>
      <c r="D4" s="204" t="s">
        <v>263</v>
      </c>
      <c r="E4" s="204" t="s">
        <v>262</v>
      </c>
      <c r="F4" s="203" t="s">
        <v>261</v>
      </c>
      <c r="G4" s="202"/>
      <c r="H4" s="201">
        <v>2015</v>
      </c>
      <c r="I4" s="201">
        <v>2015</v>
      </c>
      <c r="K4" s="200" t="s">
        <v>260</v>
      </c>
      <c r="L4" s="200" t="s">
        <v>259</v>
      </c>
      <c r="M4" s="200" t="s">
        <v>258</v>
      </c>
    </row>
    <row r="5" spans="1:15" x14ac:dyDescent="0.25">
      <c r="A5" s="199" t="s">
        <v>257</v>
      </c>
      <c r="B5" s="198" t="s">
        <v>256</v>
      </c>
      <c r="C5" s="197" t="s">
        <v>255</v>
      </c>
      <c r="D5" s="197" t="s">
        <v>254</v>
      </c>
      <c r="E5" s="197" t="s">
        <v>253</v>
      </c>
      <c r="F5" s="196" t="s">
        <v>252</v>
      </c>
      <c r="G5" s="195"/>
      <c r="H5" s="194"/>
      <c r="I5" s="194"/>
      <c r="K5" s="193" t="s">
        <v>251</v>
      </c>
      <c r="L5" s="193" t="s">
        <v>250</v>
      </c>
      <c r="M5" s="193" t="s">
        <v>249</v>
      </c>
    </row>
    <row r="6" spans="1:15" x14ac:dyDescent="0.25">
      <c r="A6" s="192"/>
      <c r="B6" s="191" t="s">
        <v>248</v>
      </c>
      <c r="C6" s="173"/>
      <c r="D6" s="190"/>
      <c r="E6" s="190"/>
      <c r="F6" s="189"/>
      <c r="G6" s="188"/>
      <c r="H6" s="187"/>
      <c r="I6" s="186"/>
      <c r="K6" s="185"/>
      <c r="L6" s="185"/>
      <c r="M6" s="185"/>
    </row>
    <row r="7" spans="1:15" x14ac:dyDescent="0.25">
      <c r="A7" s="184"/>
      <c r="B7" s="174"/>
      <c r="C7" s="173"/>
      <c r="D7" s="174"/>
      <c r="E7" s="174"/>
      <c r="F7" s="173"/>
      <c r="G7" s="172"/>
      <c r="H7" s="181"/>
      <c r="I7" s="183"/>
      <c r="K7" s="170"/>
      <c r="L7" s="170"/>
      <c r="M7" s="170"/>
    </row>
    <row r="8" spans="1:15" x14ac:dyDescent="0.25">
      <c r="A8" s="177">
        <v>1.1000000000000001</v>
      </c>
      <c r="B8" s="182" t="s">
        <v>247</v>
      </c>
      <c r="C8" s="175">
        <v>0.2</v>
      </c>
      <c r="D8" s="174" t="s">
        <v>242</v>
      </c>
      <c r="E8" s="174">
        <v>1</v>
      </c>
      <c r="F8" s="173">
        <f>E8*C8</f>
        <v>0.2</v>
      </c>
      <c r="G8" s="172"/>
      <c r="H8" s="171">
        <v>49</v>
      </c>
      <c r="I8" s="171">
        <f>H8*$F8</f>
        <v>9.8000000000000007</v>
      </c>
      <c r="K8" s="180">
        <v>1</v>
      </c>
      <c r="L8" s="179">
        <f>C18*K8</f>
        <v>6305</v>
      </c>
      <c r="M8" s="178">
        <f>L8*I8</f>
        <v>61789.000000000007</v>
      </c>
    </row>
    <row r="9" spans="1:15" x14ac:dyDescent="0.25">
      <c r="A9" s="177"/>
      <c r="B9" s="176" t="s">
        <v>246</v>
      </c>
      <c r="C9" s="175"/>
      <c r="D9" s="174"/>
      <c r="E9" s="174"/>
      <c r="F9" s="173"/>
      <c r="G9" s="172"/>
      <c r="H9" s="181"/>
      <c r="I9" s="171"/>
      <c r="K9" s="170"/>
      <c r="L9" s="173"/>
      <c r="M9" s="173"/>
    </row>
    <row r="10" spans="1:15" x14ac:dyDescent="0.25">
      <c r="A10" s="177"/>
      <c r="B10" s="176"/>
      <c r="C10" s="175"/>
      <c r="D10" s="174"/>
      <c r="E10" s="174"/>
      <c r="F10" s="173"/>
      <c r="G10" s="172"/>
      <c r="H10" s="181"/>
      <c r="I10" s="171"/>
      <c r="K10" s="170"/>
      <c r="L10" s="173"/>
      <c r="M10" s="173"/>
    </row>
    <row r="11" spans="1:15" ht="30" x14ac:dyDescent="0.25">
      <c r="A11" s="177">
        <v>1.2</v>
      </c>
      <c r="B11" s="176" t="s">
        <v>245</v>
      </c>
      <c r="C11" s="175">
        <v>0.08</v>
      </c>
      <c r="D11" s="174" t="s">
        <v>242</v>
      </c>
      <c r="E11" s="174">
        <v>1</v>
      </c>
      <c r="F11" s="173">
        <f>E11*C11</f>
        <v>0.08</v>
      </c>
      <c r="G11" s="172"/>
      <c r="H11" s="171">
        <v>49</v>
      </c>
      <c r="I11" s="171">
        <f>H11*$F11</f>
        <v>3.92</v>
      </c>
      <c r="K11" s="180">
        <v>0.05</v>
      </c>
      <c r="L11" s="179">
        <f>C19*K11</f>
        <v>204.9</v>
      </c>
      <c r="M11" s="178">
        <f>L11*I11</f>
        <v>803.20799999999997</v>
      </c>
    </row>
    <row r="12" spans="1:15" x14ac:dyDescent="0.25">
      <c r="A12" s="177"/>
      <c r="B12" s="176" t="s">
        <v>244</v>
      </c>
      <c r="C12" s="175"/>
      <c r="D12" s="174"/>
      <c r="E12" s="174"/>
      <c r="F12" s="173"/>
      <c r="G12" s="172"/>
      <c r="H12" s="171"/>
      <c r="I12" s="171"/>
      <c r="K12" s="170"/>
      <c r="L12" s="173"/>
      <c r="M12" s="173"/>
    </row>
    <row r="13" spans="1:15" x14ac:dyDescent="0.25">
      <c r="A13" s="177"/>
      <c r="B13" s="176"/>
      <c r="C13" s="175"/>
      <c r="D13" s="174"/>
      <c r="E13" s="174"/>
      <c r="F13" s="173"/>
      <c r="G13" s="172"/>
      <c r="H13" s="171"/>
      <c r="I13" s="171"/>
      <c r="K13" s="170"/>
      <c r="L13" s="173"/>
      <c r="M13" s="173"/>
    </row>
    <row r="14" spans="1:15" x14ac:dyDescent="0.25">
      <c r="A14" s="177">
        <v>1.3</v>
      </c>
      <c r="B14" s="176" t="s">
        <v>243</v>
      </c>
      <c r="C14" s="175">
        <v>0.25</v>
      </c>
      <c r="D14" s="174" t="s">
        <v>242</v>
      </c>
      <c r="E14" s="174">
        <v>1</v>
      </c>
      <c r="F14" s="173">
        <f>E14*C14</f>
        <v>0.25</v>
      </c>
      <c r="G14" s="172"/>
      <c r="H14" s="171">
        <v>49</v>
      </c>
      <c r="I14" s="171">
        <f>H14*$F14</f>
        <v>12.25</v>
      </c>
      <c r="K14" s="180">
        <v>0.3</v>
      </c>
      <c r="L14" s="179">
        <f>K14*C19</f>
        <v>1229.3999999999999</v>
      </c>
      <c r="M14" s="178">
        <f>L14*I14</f>
        <v>15060.149999999998</v>
      </c>
    </row>
    <row r="15" spans="1:15" x14ac:dyDescent="0.25">
      <c r="A15" s="177"/>
      <c r="B15" s="176" t="s">
        <v>241</v>
      </c>
      <c r="C15" s="175"/>
      <c r="D15" s="174"/>
      <c r="E15" s="174"/>
      <c r="F15" s="173"/>
      <c r="G15" s="172"/>
      <c r="H15" s="171"/>
      <c r="I15" s="171"/>
      <c r="K15" s="170"/>
      <c r="L15" s="170"/>
      <c r="M15" s="170"/>
      <c r="O15" s="153"/>
    </row>
    <row r="16" spans="1:15" x14ac:dyDescent="0.25">
      <c r="A16" s="169"/>
      <c r="B16" s="168"/>
      <c r="C16" s="167"/>
      <c r="D16" s="167"/>
      <c r="E16" s="167"/>
      <c r="F16" s="166"/>
      <c r="G16" s="165"/>
      <c r="H16" s="164"/>
      <c r="I16" s="164"/>
      <c r="K16" s="290" t="s">
        <v>240</v>
      </c>
      <c r="L16" s="291"/>
      <c r="M16" s="163">
        <f>M14+M11+M8</f>
        <v>77652.358000000007</v>
      </c>
    </row>
    <row r="18" spans="2:13" x14ac:dyDescent="0.25">
      <c r="B18" s="161" t="s">
        <v>239</v>
      </c>
      <c r="C18" s="154">
        <v>6305</v>
      </c>
    </row>
    <row r="19" spans="2:13" x14ac:dyDescent="0.25">
      <c r="B19" s="161" t="s">
        <v>238</v>
      </c>
      <c r="C19" s="154">
        <v>4098</v>
      </c>
      <c r="H19" s="160"/>
      <c r="I19" s="159" t="s">
        <v>237</v>
      </c>
      <c r="M19" s="162">
        <f>M16/C20</f>
        <v>27.069775500244024</v>
      </c>
    </row>
    <row r="20" spans="2:13" x14ac:dyDescent="0.25">
      <c r="B20" s="161" t="s">
        <v>236</v>
      </c>
      <c r="C20" s="154">
        <f>C19*70%</f>
        <v>2868.6</v>
      </c>
      <c r="H20" s="160"/>
      <c r="I20" s="159"/>
    </row>
    <row r="21" spans="2:13" x14ac:dyDescent="0.25">
      <c r="C21" s="158"/>
      <c r="D21" s="158"/>
      <c r="E21" s="158"/>
      <c r="F21" s="157"/>
      <c r="G21" s="156"/>
    </row>
    <row r="22" spans="2:13" x14ac:dyDescent="0.25">
      <c r="B22" s="154" t="s">
        <v>235</v>
      </c>
    </row>
    <row r="23" spans="2:13" x14ac:dyDescent="0.25">
      <c r="B23" s="155" t="s">
        <v>234</v>
      </c>
    </row>
    <row r="24" spans="2:13" x14ac:dyDescent="0.25">
      <c r="B24" t="s">
        <v>233</v>
      </c>
    </row>
    <row r="25" spans="2:13" x14ac:dyDescent="0.25">
      <c r="B25" t="s">
        <v>232</v>
      </c>
      <c r="C25" s="154"/>
      <c r="M25" s="153"/>
    </row>
    <row r="26" spans="2:13" x14ac:dyDescent="0.25">
      <c r="B26" t="s">
        <v>231</v>
      </c>
    </row>
    <row r="27" spans="2:13" x14ac:dyDescent="0.25">
      <c r="M27" s="153"/>
    </row>
  </sheetData>
  <mergeCells count="1">
    <mergeCell ref="K16:L16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G8"/>
  <sheetViews>
    <sheetView workbookViewId="0">
      <selection activeCell="I31" sqref="I31"/>
    </sheetView>
  </sheetViews>
  <sheetFormatPr defaultRowHeight="15" x14ac:dyDescent="0.25"/>
  <cols>
    <col min="1" max="1" width="30.5703125" bestFit="1" customWidth="1"/>
    <col min="2" max="2" width="14" bestFit="1" customWidth="1"/>
  </cols>
  <sheetData>
    <row r="1" spans="1:7" x14ac:dyDescent="0.25">
      <c r="A1" s="292" t="s">
        <v>279</v>
      </c>
      <c r="B1" s="293"/>
      <c r="C1" s="231"/>
      <c r="D1" s="231"/>
      <c r="E1" s="231"/>
      <c r="F1" s="231"/>
      <c r="G1" s="231"/>
    </row>
    <row r="2" spans="1:7" x14ac:dyDescent="0.25">
      <c r="A2" s="231"/>
      <c r="B2" s="231"/>
      <c r="C2" s="231"/>
      <c r="D2" s="231"/>
      <c r="E2" s="231"/>
      <c r="F2" s="231"/>
      <c r="G2" s="231"/>
    </row>
    <row r="3" spans="1:7" x14ac:dyDescent="0.25">
      <c r="A3" s="230" t="s">
        <v>278</v>
      </c>
      <c r="B3" s="229" t="s">
        <v>277</v>
      </c>
      <c r="C3" s="229">
        <v>2016</v>
      </c>
      <c r="D3" s="229">
        <v>2017</v>
      </c>
      <c r="E3" s="229">
        <v>2018</v>
      </c>
      <c r="F3" s="229">
        <v>2019</v>
      </c>
      <c r="G3" s="228">
        <v>2020</v>
      </c>
    </row>
    <row r="4" spans="1:7" x14ac:dyDescent="0.25">
      <c r="A4" s="227" t="s">
        <v>276</v>
      </c>
      <c r="B4" s="226" t="s">
        <v>271</v>
      </c>
      <c r="C4" s="225">
        <v>549.56207096992341</v>
      </c>
      <c r="D4" s="225">
        <v>537.04727797296755</v>
      </c>
      <c r="E4" s="225">
        <v>520.15956591779013</v>
      </c>
      <c r="F4" s="225">
        <v>502.49551625133438</v>
      </c>
      <c r="G4" s="224">
        <v>482.91640789790216</v>
      </c>
    </row>
    <row r="5" spans="1:7" x14ac:dyDescent="0.25">
      <c r="A5" s="223" t="s">
        <v>275</v>
      </c>
      <c r="B5" s="222" t="s">
        <v>271</v>
      </c>
      <c r="C5" s="221">
        <v>532.32492403567323</v>
      </c>
      <c r="D5" s="221">
        <v>517.50110796124761</v>
      </c>
      <c r="E5" s="221">
        <v>498.50817825717957</v>
      </c>
      <c r="F5" s="221">
        <v>479.07445757016637</v>
      </c>
      <c r="G5" s="220">
        <v>458.12229857606502</v>
      </c>
    </row>
    <row r="6" spans="1:7" x14ac:dyDescent="0.25">
      <c r="A6" s="223" t="s">
        <v>274</v>
      </c>
      <c r="B6" s="222" t="s">
        <v>271</v>
      </c>
      <c r="C6" s="221">
        <v>1301.641472426571</v>
      </c>
      <c r="D6" s="221">
        <v>1273.0552695331626</v>
      </c>
      <c r="E6" s="221">
        <v>1237.1494977333309</v>
      </c>
      <c r="F6" s="221">
        <v>1197.6868287022735</v>
      </c>
      <c r="G6" s="220">
        <v>1153.9144846185284</v>
      </c>
    </row>
    <row r="7" spans="1:7" x14ac:dyDescent="0.25">
      <c r="A7" s="223" t="s">
        <v>273</v>
      </c>
      <c r="B7" s="222" t="s">
        <v>271</v>
      </c>
      <c r="C7" s="221">
        <v>376.26957696786224</v>
      </c>
      <c r="D7" s="221">
        <v>375.2300330611393</v>
      </c>
      <c r="E7" s="221">
        <v>370.07637275711625</v>
      </c>
      <c r="F7" s="221">
        <v>364.53691870249025</v>
      </c>
      <c r="G7" s="220">
        <v>357.53402357311825</v>
      </c>
    </row>
    <row r="8" spans="1:7" x14ac:dyDescent="0.25">
      <c r="A8" s="219" t="s">
        <v>272</v>
      </c>
      <c r="B8" s="218" t="s">
        <v>271</v>
      </c>
      <c r="C8" s="217">
        <v>636.93986232511088</v>
      </c>
      <c r="D8" s="217">
        <v>638.3243599899597</v>
      </c>
      <c r="E8" s="217">
        <v>634.04532593194699</v>
      </c>
      <c r="F8" s="217">
        <v>627.43480207490904</v>
      </c>
      <c r="G8" s="216">
        <v>617.73449103664643</v>
      </c>
    </row>
  </sheetData>
  <mergeCells count="1">
    <mergeCell ref="A1:B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48"/>
  <sheetViews>
    <sheetView workbookViewId="0">
      <selection activeCell="G2" sqref="G2"/>
    </sheetView>
  </sheetViews>
  <sheetFormatPr defaultRowHeight="12.75" x14ac:dyDescent="0.2"/>
  <cols>
    <col min="1" max="1" width="11" style="233" bestFit="1" customWidth="1"/>
    <col min="2" max="2" width="48.7109375" style="233" bestFit="1" customWidth="1"/>
    <col min="3" max="3" width="8" style="233" bestFit="1" customWidth="1"/>
    <col min="4" max="4" width="7.140625" style="233" customWidth="1"/>
    <col min="5" max="5" width="6" style="233" bestFit="1" customWidth="1"/>
    <col min="6" max="6" width="8.85546875" style="233" bestFit="1" customWidth="1"/>
    <col min="7" max="256" width="8.7109375" style="233"/>
    <col min="257" max="257" width="11" style="233" bestFit="1" customWidth="1"/>
    <col min="258" max="258" width="48.7109375" style="233" bestFit="1" customWidth="1"/>
    <col min="259" max="259" width="8" style="233" bestFit="1" customWidth="1"/>
    <col min="260" max="260" width="7.140625" style="233" customWidth="1"/>
    <col min="261" max="261" width="6" style="233" bestFit="1" customWidth="1"/>
    <col min="262" max="262" width="8.85546875" style="233" bestFit="1" customWidth="1"/>
    <col min="263" max="512" width="8.7109375" style="233"/>
    <col min="513" max="513" width="11" style="233" bestFit="1" customWidth="1"/>
    <col min="514" max="514" width="48.7109375" style="233" bestFit="1" customWidth="1"/>
    <col min="515" max="515" width="8" style="233" bestFit="1" customWidth="1"/>
    <col min="516" max="516" width="7.140625" style="233" customWidth="1"/>
    <col min="517" max="517" width="6" style="233" bestFit="1" customWidth="1"/>
    <col min="518" max="518" width="8.85546875" style="233" bestFit="1" customWidth="1"/>
    <col min="519" max="768" width="8.7109375" style="233"/>
    <col min="769" max="769" width="11" style="233" bestFit="1" customWidth="1"/>
    <col min="770" max="770" width="48.7109375" style="233" bestFit="1" customWidth="1"/>
    <col min="771" max="771" width="8" style="233" bestFit="1" customWidth="1"/>
    <col min="772" max="772" width="7.140625" style="233" customWidth="1"/>
    <col min="773" max="773" width="6" style="233" bestFit="1" customWidth="1"/>
    <col min="774" max="774" width="8.85546875" style="233" bestFit="1" customWidth="1"/>
    <col min="775" max="1024" width="8.7109375" style="233"/>
    <col min="1025" max="1025" width="11" style="233" bestFit="1" customWidth="1"/>
    <col min="1026" max="1026" width="48.7109375" style="233" bestFit="1" customWidth="1"/>
    <col min="1027" max="1027" width="8" style="233" bestFit="1" customWidth="1"/>
    <col min="1028" max="1028" width="7.140625" style="233" customWidth="1"/>
    <col min="1029" max="1029" width="6" style="233" bestFit="1" customWidth="1"/>
    <col min="1030" max="1030" width="8.85546875" style="233" bestFit="1" customWidth="1"/>
    <col min="1031" max="1280" width="8.7109375" style="233"/>
    <col min="1281" max="1281" width="11" style="233" bestFit="1" customWidth="1"/>
    <col min="1282" max="1282" width="48.7109375" style="233" bestFit="1" customWidth="1"/>
    <col min="1283" max="1283" width="8" style="233" bestFit="1" customWidth="1"/>
    <col min="1284" max="1284" width="7.140625" style="233" customWidth="1"/>
    <col min="1285" max="1285" width="6" style="233" bestFit="1" customWidth="1"/>
    <col min="1286" max="1286" width="8.85546875" style="233" bestFit="1" customWidth="1"/>
    <col min="1287" max="1536" width="8.7109375" style="233"/>
    <col min="1537" max="1537" width="11" style="233" bestFit="1" customWidth="1"/>
    <col min="1538" max="1538" width="48.7109375" style="233" bestFit="1" customWidth="1"/>
    <col min="1539" max="1539" width="8" style="233" bestFit="1" customWidth="1"/>
    <col min="1540" max="1540" width="7.140625" style="233" customWidth="1"/>
    <col min="1541" max="1541" width="6" style="233" bestFit="1" customWidth="1"/>
    <col min="1542" max="1542" width="8.85546875" style="233" bestFit="1" customWidth="1"/>
    <col min="1543" max="1792" width="8.7109375" style="233"/>
    <col min="1793" max="1793" width="11" style="233" bestFit="1" customWidth="1"/>
    <col min="1794" max="1794" width="48.7109375" style="233" bestFit="1" customWidth="1"/>
    <col min="1795" max="1795" width="8" style="233" bestFit="1" customWidth="1"/>
    <col min="1796" max="1796" width="7.140625" style="233" customWidth="1"/>
    <col min="1797" max="1797" width="6" style="233" bestFit="1" customWidth="1"/>
    <col min="1798" max="1798" width="8.85546875" style="233" bestFit="1" customWidth="1"/>
    <col min="1799" max="2048" width="8.7109375" style="233"/>
    <col min="2049" max="2049" width="11" style="233" bestFit="1" customWidth="1"/>
    <col min="2050" max="2050" width="48.7109375" style="233" bestFit="1" customWidth="1"/>
    <col min="2051" max="2051" width="8" style="233" bestFit="1" customWidth="1"/>
    <col min="2052" max="2052" width="7.140625" style="233" customWidth="1"/>
    <col min="2053" max="2053" width="6" style="233" bestFit="1" customWidth="1"/>
    <col min="2054" max="2054" width="8.85546875" style="233" bestFit="1" customWidth="1"/>
    <col min="2055" max="2304" width="8.7109375" style="233"/>
    <col min="2305" max="2305" width="11" style="233" bestFit="1" customWidth="1"/>
    <col min="2306" max="2306" width="48.7109375" style="233" bestFit="1" customWidth="1"/>
    <col min="2307" max="2307" width="8" style="233" bestFit="1" customWidth="1"/>
    <col min="2308" max="2308" width="7.140625" style="233" customWidth="1"/>
    <col min="2309" max="2309" width="6" style="233" bestFit="1" customWidth="1"/>
    <col min="2310" max="2310" width="8.85546875" style="233" bestFit="1" customWidth="1"/>
    <col min="2311" max="2560" width="8.7109375" style="233"/>
    <col min="2561" max="2561" width="11" style="233" bestFit="1" customWidth="1"/>
    <col min="2562" max="2562" width="48.7109375" style="233" bestFit="1" customWidth="1"/>
    <col min="2563" max="2563" width="8" style="233" bestFit="1" customWidth="1"/>
    <col min="2564" max="2564" width="7.140625" style="233" customWidth="1"/>
    <col min="2565" max="2565" width="6" style="233" bestFit="1" customWidth="1"/>
    <col min="2566" max="2566" width="8.85546875" style="233" bestFit="1" customWidth="1"/>
    <col min="2567" max="2816" width="8.7109375" style="233"/>
    <col min="2817" max="2817" width="11" style="233" bestFit="1" customWidth="1"/>
    <col min="2818" max="2818" width="48.7109375" style="233" bestFit="1" customWidth="1"/>
    <col min="2819" max="2819" width="8" style="233" bestFit="1" customWidth="1"/>
    <col min="2820" max="2820" width="7.140625" style="233" customWidth="1"/>
    <col min="2821" max="2821" width="6" style="233" bestFit="1" customWidth="1"/>
    <col min="2822" max="2822" width="8.85546875" style="233" bestFit="1" customWidth="1"/>
    <col min="2823" max="3072" width="8.7109375" style="233"/>
    <col min="3073" max="3073" width="11" style="233" bestFit="1" customWidth="1"/>
    <col min="3074" max="3074" width="48.7109375" style="233" bestFit="1" customWidth="1"/>
    <col min="3075" max="3075" width="8" style="233" bestFit="1" customWidth="1"/>
    <col min="3076" max="3076" width="7.140625" style="233" customWidth="1"/>
    <col min="3077" max="3077" width="6" style="233" bestFit="1" customWidth="1"/>
    <col min="3078" max="3078" width="8.85546875" style="233" bestFit="1" customWidth="1"/>
    <col min="3079" max="3328" width="8.7109375" style="233"/>
    <col min="3329" max="3329" width="11" style="233" bestFit="1" customWidth="1"/>
    <col min="3330" max="3330" width="48.7109375" style="233" bestFit="1" customWidth="1"/>
    <col min="3331" max="3331" width="8" style="233" bestFit="1" customWidth="1"/>
    <col min="3332" max="3332" width="7.140625" style="233" customWidth="1"/>
    <col min="3333" max="3333" width="6" style="233" bestFit="1" customWidth="1"/>
    <col min="3334" max="3334" width="8.85546875" style="233" bestFit="1" customWidth="1"/>
    <col min="3335" max="3584" width="8.7109375" style="233"/>
    <col min="3585" max="3585" width="11" style="233" bestFit="1" customWidth="1"/>
    <col min="3586" max="3586" width="48.7109375" style="233" bestFit="1" customWidth="1"/>
    <col min="3587" max="3587" width="8" style="233" bestFit="1" customWidth="1"/>
    <col min="3588" max="3588" width="7.140625" style="233" customWidth="1"/>
    <col min="3589" max="3589" width="6" style="233" bestFit="1" customWidth="1"/>
    <col min="3590" max="3590" width="8.85546875" style="233" bestFit="1" customWidth="1"/>
    <col min="3591" max="3840" width="8.7109375" style="233"/>
    <col min="3841" max="3841" width="11" style="233" bestFit="1" customWidth="1"/>
    <col min="3842" max="3842" width="48.7109375" style="233" bestFit="1" customWidth="1"/>
    <col min="3843" max="3843" width="8" style="233" bestFit="1" customWidth="1"/>
    <col min="3844" max="3844" width="7.140625" style="233" customWidth="1"/>
    <col min="3845" max="3845" width="6" style="233" bestFit="1" customWidth="1"/>
    <col min="3846" max="3846" width="8.85546875" style="233" bestFit="1" customWidth="1"/>
    <col min="3847" max="4096" width="8.7109375" style="233"/>
    <col min="4097" max="4097" width="11" style="233" bestFit="1" customWidth="1"/>
    <col min="4098" max="4098" width="48.7109375" style="233" bestFit="1" customWidth="1"/>
    <col min="4099" max="4099" width="8" style="233" bestFit="1" customWidth="1"/>
    <col min="4100" max="4100" width="7.140625" style="233" customWidth="1"/>
    <col min="4101" max="4101" width="6" style="233" bestFit="1" customWidth="1"/>
    <col min="4102" max="4102" width="8.85546875" style="233" bestFit="1" customWidth="1"/>
    <col min="4103" max="4352" width="8.7109375" style="233"/>
    <col min="4353" max="4353" width="11" style="233" bestFit="1" customWidth="1"/>
    <col min="4354" max="4354" width="48.7109375" style="233" bestFit="1" customWidth="1"/>
    <col min="4355" max="4355" width="8" style="233" bestFit="1" customWidth="1"/>
    <col min="4356" max="4356" width="7.140625" style="233" customWidth="1"/>
    <col min="4357" max="4357" width="6" style="233" bestFit="1" customWidth="1"/>
    <col min="4358" max="4358" width="8.85546875" style="233" bestFit="1" customWidth="1"/>
    <col min="4359" max="4608" width="8.7109375" style="233"/>
    <col min="4609" max="4609" width="11" style="233" bestFit="1" customWidth="1"/>
    <col min="4610" max="4610" width="48.7109375" style="233" bestFit="1" customWidth="1"/>
    <col min="4611" max="4611" width="8" style="233" bestFit="1" customWidth="1"/>
    <col min="4612" max="4612" width="7.140625" style="233" customWidth="1"/>
    <col min="4613" max="4613" width="6" style="233" bestFit="1" customWidth="1"/>
    <col min="4614" max="4614" width="8.85546875" style="233" bestFit="1" customWidth="1"/>
    <col min="4615" max="4864" width="8.7109375" style="233"/>
    <col min="4865" max="4865" width="11" style="233" bestFit="1" customWidth="1"/>
    <col min="4866" max="4866" width="48.7109375" style="233" bestFit="1" customWidth="1"/>
    <col min="4867" max="4867" width="8" style="233" bestFit="1" customWidth="1"/>
    <col min="4868" max="4868" width="7.140625" style="233" customWidth="1"/>
    <col min="4869" max="4869" width="6" style="233" bestFit="1" customWidth="1"/>
    <col min="4870" max="4870" width="8.85546875" style="233" bestFit="1" customWidth="1"/>
    <col min="4871" max="5120" width="8.7109375" style="233"/>
    <col min="5121" max="5121" width="11" style="233" bestFit="1" customWidth="1"/>
    <col min="5122" max="5122" width="48.7109375" style="233" bestFit="1" customWidth="1"/>
    <col min="5123" max="5123" width="8" style="233" bestFit="1" customWidth="1"/>
    <col min="5124" max="5124" width="7.140625" style="233" customWidth="1"/>
    <col min="5125" max="5125" width="6" style="233" bestFit="1" customWidth="1"/>
    <col min="5126" max="5126" width="8.85546875" style="233" bestFit="1" customWidth="1"/>
    <col min="5127" max="5376" width="8.7109375" style="233"/>
    <col min="5377" max="5377" width="11" style="233" bestFit="1" customWidth="1"/>
    <col min="5378" max="5378" width="48.7109375" style="233" bestFit="1" customWidth="1"/>
    <col min="5379" max="5379" width="8" style="233" bestFit="1" customWidth="1"/>
    <col min="5380" max="5380" width="7.140625" style="233" customWidth="1"/>
    <col min="5381" max="5381" width="6" style="233" bestFit="1" customWidth="1"/>
    <col min="5382" max="5382" width="8.85546875" style="233" bestFit="1" customWidth="1"/>
    <col min="5383" max="5632" width="8.7109375" style="233"/>
    <col min="5633" max="5633" width="11" style="233" bestFit="1" customWidth="1"/>
    <col min="5634" max="5634" width="48.7109375" style="233" bestFit="1" customWidth="1"/>
    <col min="5635" max="5635" width="8" style="233" bestFit="1" customWidth="1"/>
    <col min="5636" max="5636" width="7.140625" style="233" customWidth="1"/>
    <col min="5637" max="5637" width="6" style="233" bestFit="1" customWidth="1"/>
    <col min="5638" max="5638" width="8.85546875" style="233" bestFit="1" customWidth="1"/>
    <col min="5639" max="5888" width="8.7109375" style="233"/>
    <col min="5889" max="5889" width="11" style="233" bestFit="1" customWidth="1"/>
    <col min="5890" max="5890" width="48.7109375" style="233" bestFit="1" customWidth="1"/>
    <col min="5891" max="5891" width="8" style="233" bestFit="1" customWidth="1"/>
    <col min="5892" max="5892" width="7.140625" style="233" customWidth="1"/>
    <col min="5893" max="5893" width="6" style="233" bestFit="1" customWidth="1"/>
    <col min="5894" max="5894" width="8.85546875" style="233" bestFit="1" customWidth="1"/>
    <col min="5895" max="6144" width="8.7109375" style="233"/>
    <col min="6145" max="6145" width="11" style="233" bestFit="1" customWidth="1"/>
    <col min="6146" max="6146" width="48.7109375" style="233" bestFit="1" customWidth="1"/>
    <col min="6147" max="6147" width="8" style="233" bestFit="1" customWidth="1"/>
    <col min="6148" max="6148" width="7.140625" style="233" customWidth="1"/>
    <col min="6149" max="6149" width="6" style="233" bestFit="1" customWidth="1"/>
    <col min="6150" max="6150" width="8.85546875" style="233" bestFit="1" customWidth="1"/>
    <col min="6151" max="6400" width="8.7109375" style="233"/>
    <col min="6401" max="6401" width="11" style="233" bestFit="1" customWidth="1"/>
    <col min="6402" max="6402" width="48.7109375" style="233" bestFit="1" customWidth="1"/>
    <col min="6403" max="6403" width="8" style="233" bestFit="1" customWidth="1"/>
    <col min="6404" max="6404" width="7.140625" style="233" customWidth="1"/>
    <col min="6405" max="6405" width="6" style="233" bestFit="1" customWidth="1"/>
    <col min="6406" max="6406" width="8.85546875" style="233" bestFit="1" customWidth="1"/>
    <col min="6407" max="6656" width="8.7109375" style="233"/>
    <col min="6657" max="6657" width="11" style="233" bestFit="1" customWidth="1"/>
    <col min="6658" max="6658" width="48.7109375" style="233" bestFit="1" customWidth="1"/>
    <col min="6659" max="6659" width="8" style="233" bestFit="1" customWidth="1"/>
    <col min="6660" max="6660" width="7.140625" style="233" customWidth="1"/>
    <col min="6661" max="6661" width="6" style="233" bestFit="1" customWidth="1"/>
    <col min="6662" max="6662" width="8.85546875" style="233" bestFit="1" customWidth="1"/>
    <col min="6663" max="6912" width="8.7109375" style="233"/>
    <col min="6913" max="6913" width="11" style="233" bestFit="1" customWidth="1"/>
    <col min="6914" max="6914" width="48.7109375" style="233" bestFit="1" customWidth="1"/>
    <col min="6915" max="6915" width="8" style="233" bestFit="1" customWidth="1"/>
    <col min="6916" max="6916" width="7.140625" style="233" customWidth="1"/>
    <col min="6917" max="6917" width="6" style="233" bestFit="1" customWidth="1"/>
    <col min="6918" max="6918" width="8.85546875" style="233" bestFit="1" customWidth="1"/>
    <col min="6919" max="7168" width="8.7109375" style="233"/>
    <col min="7169" max="7169" width="11" style="233" bestFit="1" customWidth="1"/>
    <col min="7170" max="7170" width="48.7109375" style="233" bestFit="1" customWidth="1"/>
    <col min="7171" max="7171" width="8" style="233" bestFit="1" customWidth="1"/>
    <col min="7172" max="7172" width="7.140625" style="233" customWidth="1"/>
    <col min="7173" max="7173" width="6" style="233" bestFit="1" customWidth="1"/>
    <col min="7174" max="7174" width="8.85546875" style="233" bestFit="1" customWidth="1"/>
    <col min="7175" max="7424" width="8.7109375" style="233"/>
    <col min="7425" max="7425" width="11" style="233" bestFit="1" customWidth="1"/>
    <col min="7426" max="7426" width="48.7109375" style="233" bestFit="1" customWidth="1"/>
    <col min="7427" max="7427" width="8" style="233" bestFit="1" customWidth="1"/>
    <col min="7428" max="7428" width="7.140625" style="233" customWidth="1"/>
    <col min="7429" max="7429" width="6" style="233" bestFit="1" customWidth="1"/>
    <col min="7430" max="7430" width="8.85546875" style="233" bestFit="1" customWidth="1"/>
    <col min="7431" max="7680" width="8.7109375" style="233"/>
    <col min="7681" max="7681" width="11" style="233" bestFit="1" customWidth="1"/>
    <col min="7682" max="7682" width="48.7109375" style="233" bestFit="1" customWidth="1"/>
    <col min="7683" max="7683" width="8" style="233" bestFit="1" customWidth="1"/>
    <col min="7684" max="7684" width="7.140625" style="233" customWidth="1"/>
    <col min="7685" max="7685" width="6" style="233" bestFit="1" customWidth="1"/>
    <col min="7686" max="7686" width="8.85546875" style="233" bestFit="1" customWidth="1"/>
    <col min="7687" max="7936" width="8.7109375" style="233"/>
    <col min="7937" max="7937" width="11" style="233" bestFit="1" customWidth="1"/>
    <col min="7938" max="7938" width="48.7109375" style="233" bestFit="1" customWidth="1"/>
    <col min="7939" max="7939" width="8" style="233" bestFit="1" customWidth="1"/>
    <col min="7940" max="7940" width="7.140625" style="233" customWidth="1"/>
    <col min="7941" max="7941" width="6" style="233" bestFit="1" customWidth="1"/>
    <col min="7942" max="7942" width="8.85546875" style="233" bestFit="1" customWidth="1"/>
    <col min="7943" max="8192" width="8.7109375" style="233"/>
    <col min="8193" max="8193" width="11" style="233" bestFit="1" customWidth="1"/>
    <col min="8194" max="8194" width="48.7109375" style="233" bestFit="1" customWidth="1"/>
    <col min="8195" max="8195" width="8" style="233" bestFit="1" customWidth="1"/>
    <col min="8196" max="8196" width="7.140625" style="233" customWidth="1"/>
    <col min="8197" max="8197" width="6" style="233" bestFit="1" customWidth="1"/>
    <col min="8198" max="8198" width="8.85546875" style="233" bestFit="1" customWidth="1"/>
    <col min="8199" max="8448" width="8.7109375" style="233"/>
    <col min="8449" max="8449" width="11" style="233" bestFit="1" customWidth="1"/>
    <col min="8450" max="8450" width="48.7109375" style="233" bestFit="1" customWidth="1"/>
    <col min="8451" max="8451" width="8" style="233" bestFit="1" customWidth="1"/>
    <col min="8452" max="8452" width="7.140625" style="233" customWidth="1"/>
    <col min="8453" max="8453" width="6" style="233" bestFit="1" customWidth="1"/>
    <col min="8454" max="8454" width="8.85546875" style="233" bestFit="1" customWidth="1"/>
    <col min="8455" max="8704" width="8.7109375" style="233"/>
    <col min="8705" max="8705" width="11" style="233" bestFit="1" customWidth="1"/>
    <col min="8706" max="8706" width="48.7109375" style="233" bestFit="1" customWidth="1"/>
    <col min="8707" max="8707" width="8" style="233" bestFit="1" customWidth="1"/>
    <col min="8708" max="8708" width="7.140625" style="233" customWidth="1"/>
    <col min="8709" max="8709" width="6" style="233" bestFit="1" customWidth="1"/>
    <col min="8710" max="8710" width="8.85546875" style="233" bestFit="1" customWidth="1"/>
    <col min="8711" max="8960" width="8.7109375" style="233"/>
    <col min="8961" max="8961" width="11" style="233" bestFit="1" customWidth="1"/>
    <col min="8962" max="8962" width="48.7109375" style="233" bestFit="1" customWidth="1"/>
    <col min="8963" max="8963" width="8" style="233" bestFit="1" customWidth="1"/>
    <col min="8964" max="8964" width="7.140625" style="233" customWidth="1"/>
    <col min="8965" max="8965" width="6" style="233" bestFit="1" customWidth="1"/>
    <col min="8966" max="8966" width="8.85546875" style="233" bestFit="1" customWidth="1"/>
    <col min="8967" max="9216" width="8.7109375" style="233"/>
    <col min="9217" max="9217" width="11" style="233" bestFit="1" customWidth="1"/>
    <col min="9218" max="9218" width="48.7109375" style="233" bestFit="1" customWidth="1"/>
    <col min="9219" max="9219" width="8" style="233" bestFit="1" customWidth="1"/>
    <col min="9220" max="9220" width="7.140625" style="233" customWidth="1"/>
    <col min="9221" max="9221" width="6" style="233" bestFit="1" customWidth="1"/>
    <col min="9222" max="9222" width="8.85546875" style="233" bestFit="1" customWidth="1"/>
    <col min="9223" max="9472" width="8.7109375" style="233"/>
    <col min="9473" max="9473" width="11" style="233" bestFit="1" customWidth="1"/>
    <col min="9474" max="9474" width="48.7109375" style="233" bestFit="1" customWidth="1"/>
    <col min="9475" max="9475" width="8" style="233" bestFit="1" customWidth="1"/>
    <col min="9476" max="9476" width="7.140625" style="233" customWidth="1"/>
    <col min="9477" max="9477" width="6" style="233" bestFit="1" customWidth="1"/>
    <col min="9478" max="9478" width="8.85546875" style="233" bestFit="1" customWidth="1"/>
    <col min="9479" max="9728" width="8.7109375" style="233"/>
    <col min="9729" max="9729" width="11" style="233" bestFit="1" customWidth="1"/>
    <col min="9730" max="9730" width="48.7109375" style="233" bestFit="1" customWidth="1"/>
    <col min="9731" max="9731" width="8" style="233" bestFit="1" customWidth="1"/>
    <col min="9732" max="9732" width="7.140625" style="233" customWidth="1"/>
    <col min="9733" max="9733" width="6" style="233" bestFit="1" customWidth="1"/>
    <col min="9734" max="9734" width="8.85546875" style="233" bestFit="1" customWidth="1"/>
    <col min="9735" max="9984" width="8.7109375" style="233"/>
    <col min="9985" max="9985" width="11" style="233" bestFit="1" customWidth="1"/>
    <col min="9986" max="9986" width="48.7109375" style="233" bestFit="1" customWidth="1"/>
    <col min="9987" max="9987" width="8" style="233" bestFit="1" customWidth="1"/>
    <col min="9988" max="9988" width="7.140625" style="233" customWidth="1"/>
    <col min="9989" max="9989" width="6" style="233" bestFit="1" customWidth="1"/>
    <col min="9990" max="9990" width="8.85546875" style="233" bestFit="1" customWidth="1"/>
    <col min="9991" max="10240" width="8.7109375" style="233"/>
    <col min="10241" max="10241" width="11" style="233" bestFit="1" customWidth="1"/>
    <col min="10242" max="10242" width="48.7109375" style="233" bestFit="1" customWidth="1"/>
    <col min="10243" max="10243" width="8" style="233" bestFit="1" customWidth="1"/>
    <col min="10244" max="10244" width="7.140625" style="233" customWidth="1"/>
    <col min="10245" max="10245" width="6" style="233" bestFit="1" customWidth="1"/>
    <col min="10246" max="10246" width="8.85546875" style="233" bestFit="1" customWidth="1"/>
    <col min="10247" max="10496" width="8.7109375" style="233"/>
    <col min="10497" max="10497" width="11" style="233" bestFit="1" customWidth="1"/>
    <col min="10498" max="10498" width="48.7109375" style="233" bestFit="1" customWidth="1"/>
    <col min="10499" max="10499" width="8" style="233" bestFit="1" customWidth="1"/>
    <col min="10500" max="10500" width="7.140625" style="233" customWidth="1"/>
    <col min="10501" max="10501" width="6" style="233" bestFit="1" customWidth="1"/>
    <col min="10502" max="10502" width="8.85546875" style="233" bestFit="1" customWidth="1"/>
    <col min="10503" max="10752" width="8.7109375" style="233"/>
    <col min="10753" max="10753" width="11" style="233" bestFit="1" customWidth="1"/>
    <col min="10754" max="10754" width="48.7109375" style="233" bestFit="1" customWidth="1"/>
    <col min="10755" max="10755" width="8" style="233" bestFit="1" customWidth="1"/>
    <col min="10756" max="10756" width="7.140625" style="233" customWidth="1"/>
    <col min="10757" max="10757" width="6" style="233" bestFit="1" customWidth="1"/>
    <col min="10758" max="10758" width="8.85546875" style="233" bestFit="1" customWidth="1"/>
    <col min="10759" max="11008" width="8.7109375" style="233"/>
    <col min="11009" max="11009" width="11" style="233" bestFit="1" customWidth="1"/>
    <col min="11010" max="11010" width="48.7109375" style="233" bestFit="1" customWidth="1"/>
    <col min="11011" max="11011" width="8" style="233" bestFit="1" customWidth="1"/>
    <col min="11012" max="11012" width="7.140625" style="233" customWidth="1"/>
    <col min="11013" max="11013" width="6" style="233" bestFit="1" customWidth="1"/>
    <col min="11014" max="11014" width="8.85546875" style="233" bestFit="1" customWidth="1"/>
    <col min="11015" max="11264" width="8.7109375" style="233"/>
    <col min="11265" max="11265" width="11" style="233" bestFit="1" customWidth="1"/>
    <col min="11266" max="11266" width="48.7109375" style="233" bestFit="1" customWidth="1"/>
    <col min="11267" max="11267" width="8" style="233" bestFit="1" customWidth="1"/>
    <col min="11268" max="11268" width="7.140625" style="233" customWidth="1"/>
    <col min="11269" max="11269" width="6" style="233" bestFit="1" customWidth="1"/>
    <col min="11270" max="11270" width="8.85546875" style="233" bestFit="1" customWidth="1"/>
    <col min="11271" max="11520" width="8.7109375" style="233"/>
    <col min="11521" max="11521" width="11" style="233" bestFit="1" customWidth="1"/>
    <col min="11522" max="11522" width="48.7109375" style="233" bestFit="1" customWidth="1"/>
    <col min="11523" max="11523" width="8" style="233" bestFit="1" customWidth="1"/>
    <col min="11524" max="11524" width="7.140625" style="233" customWidth="1"/>
    <col min="11525" max="11525" width="6" style="233" bestFit="1" customWidth="1"/>
    <col min="11526" max="11526" width="8.85546875" style="233" bestFit="1" customWidth="1"/>
    <col min="11527" max="11776" width="8.7109375" style="233"/>
    <col min="11777" max="11777" width="11" style="233" bestFit="1" customWidth="1"/>
    <col min="11778" max="11778" width="48.7109375" style="233" bestFit="1" customWidth="1"/>
    <col min="11779" max="11779" width="8" style="233" bestFit="1" customWidth="1"/>
    <col min="11780" max="11780" width="7.140625" style="233" customWidth="1"/>
    <col min="11781" max="11781" width="6" style="233" bestFit="1" customWidth="1"/>
    <col min="11782" max="11782" width="8.85546875" style="233" bestFit="1" customWidth="1"/>
    <col min="11783" max="12032" width="8.7109375" style="233"/>
    <col min="12033" max="12033" width="11" style="233" bestFit="1" customWidth="1"/>
    <col min="12034" max="12034" width="48.7109375" style="233" bestFit="1" customWidth="1"/>
    <col min="12035" max="12035" width="8" style="233" bestFit="1" customWidth="1"/>
    <col min="12036" max="12036" width="7.140625" style="233" customWidth="1"/>
    <col min="12037" max="12037" width="6" style="233" bestFit="1" customWidth="1"/>
    <col min="12038" max="12038" width="8.85546875" style="233" bestFit="1" customWidth="1"/>
    <col min="12039" max="12288" width="8.7109375" style="233"/>
    <col min="12289" max="12289" width="11" style="233" bestFit="1" customWidth="1"/>
    <col min="12290" max="12290" width="48.7109375" style="233" bestFit="1" customWidth="1"/>
    <col min="12291" max="12291" width="8" style="233" bestFit="1" customWidth="1"/>
    <col min="12292" max="12292" width="7.140625" style="233" customWidth="1"/>
    <col min="12293" max="12293" width="6" style="233" bestFit="1" customWidth="1"/>
    <col min="12294" max="12294" width="8.85546875" style="233" bestFit="1" customWidth="1"/>
    <col min="12295" max="12544" width="8.7109375" style="233"/>
    <col min="12545" max="12545" width="11" style="233" bestFit="1" customWidth="1"/>
    <col min="12546" max="12546" width="48.7109375" style="233" bestFit="1" customWidth="1"/>
    <col min="12547" max="12547" width="8" style="233" bestFit="1" customWidth="1"/>
    <col min="12548" max="12548" width="7.140625" style="233" customWidth="1"/>
    <col min="12549" max="12549" width="6" style="233" bestFit="1" customWidth="1"/>
    <col min="12550" max="12550" width="8.85546875" style="233" bestFit="1" customWidth="1"/>
    <col min="12551" max="12800" width="8.7109375" style="233"/>
    <col min="12801" max="12801" width="11" style="233" bestFit="1" customWidth="1"/>
    <col min="12802" max="12802" width="48.7109375" style="233" bestFit="1" customWidth="1"/>
    <col min="12803" max="12803" width="8" style="233" bestFit="1" customWidth="1"/>
    <col min="12804" max="12804" width="7.140625" style="233" customWidth="1"/>
    <col min="12805" max="12805" width="6" style="233" bestFit="1" customWidth="1"/>
    <col min="12806" max="12806" width="8.85546875" style="233" bestFit="1" customWidth="1"/>
    <col min="12807" max="13056" width="8.7109375" style="233"/>
    <col min="13057" max="13057" width="11" style="233" bestFit="1" customWidth="1"/>
    <col min="13058" max="13058" width="48.7109375" style="233" bestFit="1" customWidth="1"/>
    <col min="13059" max="13059" width="8" style="233" bestFit="1" customWidth="1"/>
    <col min="13060" max="13060" width="7.140625" style="233" customWidth="1"/>
    <col min="13061" max="13061" width="6" style="233" bestFit="1" customWidth="1"/>
    <col min="13062" max="13062" width="8.85546875" style="233" bestFit="1" customWidth="1"/>
    <col min="13063" max="13312" width="8.7109375" style="233"/>
    <col min="13313" max="13313" width="11" style="233" bestFit="1" customWidth="1"/>
    <col min="13314" max="13314" width="48.7109375" style="233" bestFit="1" customWidth="1"/>
    <col min="13315" max="13315" width="8" style="233" bestFit="1" customWidth="1"/>
    <col min="13316" max="13316" width="7.140625" style="233" customWidth="1"/>
    <col min="13317" max="13317" width="6" style="233" bestFit="1" customWidth="1"/>
    <col min="13318" max="13318" width="8.85546875" style="233" bestFit="1" customWidth="1"/>
    <col min="13319" max="13568" width="8.7109375" style="233"/>
    <col min="13569" max="13569" width="11" style="233" bestFit="1" customWidth="1"/>
    <col min="13570" max="13570" width="48.7109375" style="233" bestFit="1" customWidth="1"/>
    <col min="13571" max="13571" width="8" style="233" bestFit="1" customWidth="1"/>
    <col min="13572" max="13572" width="7.140625" style="233" customWidth="1"/>
    <col min="13573" max="13573" width="6" style="233" bestFit="1" customWidth="1"/>
    <col min="13574" max="13574" width="8.85546875" style="233" bestFit="1" customWidth="1"/>
    <col min="13575" max="13824" width="8.7109375" style="233"/>
    <col min="13825" max="13825" width="11" style="233" bestFit="1" customWidth="1"/>
    <col min="13826" max="13826" width="48.7109375" style="233" bestFit="1" customWidth="1"/>
    <col min="13827" max="13827" width="8" style="233" bestFit="1" customWidth="1"/>
    <col min="13828" max="13828" width="7.140625" style="233" customWidth="1"/>
    <col min="13829" max="13829" width="6" style="233" bestFit="1" customWidth="1"/>
    <col min="13830" max="13830" width="8.85546875" style="233" bestFit="1" customWidth="1"/>
    <col min="13831" max="14080" width="8.7109375" style="233"/>
    <col min="14081" max="14081" width="11" style="233" bestFit="1" customWidth="1"/>
    <col min="14082" max="14082" width="48.7109375" style="233" bestFit="1" customWidth="1"/>
    <col min="14083" max="14083" width="8" style="233" bestFit="1" customWidth="1"/>
    <col min="14084" max="14084" width="7.140625" style="233" customWidth="1"/>
    <col min="14085" max="14085" width="6" style="233" bestFit="1" customWidth="1"/>
    <col min="14086" max="14086" width="8.85546875" style="233" bestFit="1" customWidth="1"/>
    <col min="14087" max="14336" width="8.7109375" style="233"/>
    <col min="14337" max="14337" width="11" style="233" bestFit="1" customWidth="1"/>
    <col min="14338" max="14338" width="48.7109375" style="233" bestFit="1" customWidth="1"/>
    <col min="14339" max="14339" width="8" style="233" bestFit="1" customWidth="1"/>
    <col min="14340" max="14340" width="7.140625" style="233" customWidth="1"/>
    <col min="14341" max="14341" width="6" style="233" bestFit="1" customWidth="1"/>
    <col min="14342" max="14342" width="8.85546875" style="233" bestFit="1" customWidth="1"/>
    <col min="14343" max="14592" width="8.7109375" style="233"/>
    <col min="14593" max="14593" width="11" style="233" bestFit="1" customWidth="1"/>
    <col min="14594" max="14594" width="48.7109375" style="233" bestFit="1" customWidth="1"/>
    <col min="14595" max="14595" width="8" style="233" bestFit="1" customWidth="1"/>
    <col min="14596" max="14596" width="7.140625" style="233" customWidth="1"/>
    <col min="14597" max="14597" width="6" style="233" bestFit="1" customWidth="1"/>
    <col min="14598" max="14598" width="8.85546875" style="233" bestFit="1" customWidth="1"/>
    <col min="14599" max="14848" width="8.7109375" style="233"/>
    <col min="14849" max="14849" width="11" style="233" bestFit="1" customWidth="1"/>
    <col min="14850" max="14850" width="48.7109375" style="233" bestFit="1" customWidth="1"/>
    <col min="14851" max="14851" width="8" style="233" bestFit="1" customWidth="1"/>
    <col min="14852" max="14852" width="7.140625" style="233" customWidth="1"/>
    <col min="14853" max="14853" width="6" style="233" bestFit="1" customWidth="1"/>
    <col min="14854" max="14854" width="8.85546875" style="233" bestFit="1" customWidth="1"/>
    <col min="14855" max="15104" width="8.7109375" style="233"/>
    <col min="15105" max="15105" width="11" style="233" bestFit="1" customWidth="1"/>
    <col min="15106" max="15106" width="48.7109375" style="233" bestFit="1" customWidth="1"/>
    <col min="15107" max="15107" width="8" style="233" bestFit="1" customWidth="1"/>
    <col min="15108" max="15108" width="7.140625" style="233" customWidth="1"/>
    <col min="15109" max="15109" width="6" style="233" bestFit="1" customWidth="1"/>
    <col min="15110" max="15110" width="8.85546875" style="233" bestFit="1" customWidth="1"/>
    <col min="15111" max="15360" width="8.7109375" style="233"/>
    <col min="15361" max="15361" width="11" style="233" bestFit="1" customWidth="1"/>
    <col min="15362" max="15362" width="48.7109375" style="233" bestFit="1" customWidth="1"/>
    <col min="15363" max="15363" width="8" style="233" bestFit="1" customWidth="1"/>
    <col min="15364" max="15364" width="7.140625" style="233" customWidth="1"/>
    <col min="15365" max="15365" width="6" style="233" bestFit="1" customWidth="1"/>
    <col min="15366" max="15366" width="8.85546875" style="233" bestFit="1" customWidth="1"/>
    <col min="15367" max="15616" width="8.7109375" style="233"/>
    <col min="15617" max="15617" width="11" style="233" bestFit="1" customWidth="1"/>
    <col min="15618" max="15618" width="48.7109375" style="233" bestFit="1" customWidth="1"/>
    <col min="15619" max="15619" width="8" style="233" bestFit="1" customWidth="1"/>
    <col min="15620" max="15620" width="7.140625" style="233" customWidth="1"/>
    <col min="15621" max="15621" width="6" style="233" bestFit="1" customWidth="1"/>
    <col min="15622" max="15622" width="8.85546875" style="233" bestFit="1" customWidth="1"/>
    <col min="15623" max="15872" width="8.7109375" style="233"/>
    <col min="15873" max="15873" width="11" style="233" bestFit="1" customWidth="1"/>
    <col min="15874" max="15874" width="48.7109375" style="233" bestFit="1" customWidth="1"/>
    <col min="15875" max="15875" width="8" style="233" bestFit="1" customWidth="1"/>
    <col min="15876" max="15876" width="7.140625" style="233" customWidth="1"/>
    <col min="15877" max="15877" width="6" style="233" bestFit="1" customWidth="1"/>
    <col min="15878" max="15878" width="8.85546875" style="233" bestFit="1" customWidth="1"/>
    <col min="15879" max="16128" width="8.7109375" style="233"/>
    <col min="16129" max="16129" width="11" style="233" bestFit="1" customWidth="1"/>
    <col min="16130" max="16130" width="48.7109375" style="233" bestFit="1" customWidth="1"/>
    <col min="16131" max="16131" width="8" style="233" bestFit="1" customWidth="1"/>
    <col min="16132" max="16132" width="7.140625" style="233" customWidth="1"/>
    <col min="16133" max="16133" width="6" style="233" bestFit="1" customWidth="1"/>
    <col min="16134" max="16134" width="8.85546875" style="233" bestFit="1" customWidth="1"/>
    <col min="16135" max="16384" width="8.7109375" style="233"/>
  </cols>
  <sheetData>
    <row r="1" spans="1:8" x14ac:dyDescent="0.2">
      <c r="A1" s="233" t="s">
        <v>285</v>
      </c>
      <c r="B1" s="233" t="s">
        <v>286</v>
      </c>
      <c r="D1" s="233" t="s">
        <v>287</v>
      </c>
      <c r="E1" s="233" t="s">
        <v>288</v>
      </c>
    </row>
    <row r="2" spans="1:8" x14ac:dyDescent="0.2">
      <c r="A2" s="233">
        <v>5205</v>
      </c>
      <c r="B2" s="233" t="s">
        <v>289</v>
      </c>
      <c r="D2" s="233" t="s">
        <v>290</v>
      </c>
      <c r="E2" s="233">
        <v>1.0900000000000001</v>
      </c>
    </row>
    <row r="3" spans="1:8" x14ac:dyDescent="0.2">
      <c r="A3" s="233">
        <v>5204</v>
      </c>
      <c r="B3" s="233" t="s">
        <v>291</v>
      </c>
      <c r="D3" s="233" t="s">
        <v>290</v>
      </c>
      <c r="E3" s="233">
        <v>2.21</v>
      </c>
      <c r="H3" s="233" t="s">
        <v>314</v>
      </c>
    </row>
    <row r="4" spans="1:8" x14ac:dyDescent="0.2">
      <c r="A4" s="233">
        <v>3912</v>
      </c>
      <c r="B4" s="233" t="s">
        <v>292</v>
      </c>
      <c r="D4" s="233" t="s">
        <v>293</v>
      </c>
      <c r="E4" s="233">
        <v>4.55</v>
      </c>
    </row>
    <row r="5" spans="1:8" x14ac:dyDescent="0.2">
      <c r="A5" s="233">
        <v>3664</v>
      </c>
      <c r="B5" s="233" t="s">
        <v>294</v>
      </c>
      <c r="D5" s="233" t="s">
        <v>293</v>
      </c>
      <c r="E5" s="233">
        <v>5.96</v>
      </c>
    </row>
    <row r="6" spans="1:8" x14ac:dyDescent="0.2">
      <c r="A6" s="233">
        <v>7433</v>
      </c>
      <c r="B6" s="233" t="s">
        <v>295</v>
      </c>
      <c r="D6" s="233" t="s">
        <v>293</v>
      </c>
      <c r="E6" s="233">
        <v>53.44</v>
      </c>
    </row>
    <row r="7" spans="1:8" x14ac:dyDescent="0.2">
      <c r="A7" s="233">
        <v>6778</v>
      </c>
      <c r="B7" s="233" t="s">
        <v>296</v>
      </c>
      <c r="D7" s="233" t="s">
        <v>293</v>
      </c>
      <c r="E7" s="233">
        <v>13.27</v>
      </c>
    </row>
    <row r="8" spans="1:8" x14ac:dyDescent="0.2">
      <c r="A8" s="233">
        <v>6779</v>
      </c>
      <c r="B8" s="233" t="s">
        <v>297</v>
      </c>
      <c r="D8" s="233" t="s">
        <v>293</v>
      </c>
      <c r="E8" s="233">
        <v>22.58</v>
      </c>
    </row>
    <row r="9" spans="1:8" x14ac:dyDescent="0.2">
      <c r="A9" s="233">
        <v>1898</v>
      </c>
      <c r="B9" s="233" t="s">
        <v>298</v>
      </c>
      <c r="D9" s="233" t="s">
        <v>293</v>
      </c>
      <c r="E9" s="233">
        <v>6.23</v>
      </c>
    </row>
    <row r="10" spans="1:8" x14ac:dyDescent="0.2">
      <c r="A10" s="233">
        <v>6108</v>
      </c>
      <c r="B10" s="233" t="s">
        <v>299</v>
      </c>
      <c r="D10" s="233" t="s">
        <v>293</v>
      </c>
      <c r="E10" s="233">
        <v>0.15</v>
      </c>
    </row>
    <row r="16" spans="1:8" x14ac:dyDescent="0.2">
      <c r="A16" s="234" t="s">
        <v>313</v>
      </c>
    </row>
    <row r="18" spans="1:6" x14ac:dyDescent="0.2">
      <c r="A18" s="235" t="s">
        <v>300</v>
      </c>
      <c r="B18" s="235"/>
      <c r="C18" s="235"/>
      <c r="D18" s="235"/>
      <c r="E18" s="235"/>
      <c r="F18" s="235"/>
    </row>
    <row r="19" spans="1:6" x14ac:dyDescent="0.2">
      <c r="A19" s="235" t="s">
        <v>301</v>
      </c>
      <c r="B19" s="235" t="s">
        <v>257</v>
      </c>
      <c r="C19" s="235" t="s">
        <v>302</v>
      </c>
      <c r="D19" s="235"/>
      <c r="E19" s="235" t="s">
        <v>303</v>
      </c>
      <c r="F19" s="235" t="s">
        <v>304</v>
      </c>
    </row>
    <row r="20" spans="1:6" x14ac:dyDescent="0.2">
      <c r="A20" s="236">
        <v>5205</v>
      </c>
      <c r="B20" s="236" t="s">
        <v>289</v>
      </c>
      <c r="C20" s="236">
        <v>30</v>
      </c>
      <c r="D20" s="236" t="s">
        <v>290</v>
      </c>
      <c r="E20" s="236">
        <v>1.0900000000000001</v>
      </c>
      <c r="F20" s="236">
        <f>E20*C20</f>
        <v>32.700000000000003</v>
      </c>
    </row>
    <row r="21" spans="1:6" x14ac:dyDescent="0.2">
      <c r="A21" s="236">
        <v>3912</v>
      </c>
      <c r="B21" s="236" t="s">
        <v>292</v>
      </c>
      <c r="C21" s="236">
        <v>1.5</v>
      </c>
      <c r="D21" s="236" t="s">
        <v>293</v>
      </c>
      <c r="E21" s="236">
        <v>4.55</v>
      </c>
      <c r="F21" s="236">
        <f>E21*C21</f>
        <v>6.8249999999999993</v>
      </c>
    </row>
    <row r="22" spans="1:6" x14ac:dyDescent="0.2">
      <c r="A22" s="236">
        <v>1898</v>
      </c>
      <c r="B22" s="236" t="s">
        <v>298</v>
      </c>
      <c r="C22" s="236">
        <v>1</v>
      </c>
      <c r="D22" s="236" t="s">
        <v>293</v>
      </c>
      <c r="E22" s="236">
        <v>6.23</v>
      </c>
      <c r="F22" s="236">
        <f>E22*C22</f>
        <v>6.23</v>
      </c>
    </row>
    <row r="23" spans="1:6" x14ac:dyDescent="0.2">
      <c r="A23" s="236">
        <v>6108</v>
      </c>
      <c r="B23" s="236" t="s">
        <v>299</v>
      </c>
      <c r="C23" s="236">
        <v>2</v>
      </c>
      <c r="D23" s="236" t="s">
        <v>293</v>
      </c>
      <c r="E23" s="236">
        <v>0.15</v>
      </c>
      <c r="F23" s="236">
        <f>E23*C23</f>
        <v>0.3</v>
      </c>
    </row>
    <row r="24" spans="1:6" x14ac:dyDescent="0.2">
      <c r="A24" s="236">
        <v>7433</v>
      </c>
      <c r="B24" s="236" t="s">
        <v>305</v>
      </c>
      <c r="C24" s="236">
        <v>0.5</v>
      </c>
      <c r="D24" s="236" t="s">
        <v>293</v>
      </c>
      <c r="E24" s="236">
        <v>53.44</v>
      </c>
      <c r="F24" s="236">
        <f>E24*C24</f>
        <v>26.72</v>
      </c>
    </row>
    <row r="25" spans="1:6" x14ac:dyDescent="0.2">
      <c r="A25" s="236"/>
      <c r="B25" s="236" t="s">
        <v>306</v>
      </c>
      <c r="C25" s="236"/>
      <c r="D25" s="236"/>
      <c r="E25" s="235" t="s">
        <v>307</v>
      </c>
      <c r="F25" s="237">
        <f>SUM(F20:F24)</f>
        <v>72.775000000000006</v>
      </c>
    </row>
    <row r="26" spans="1:6" x14ac:dyDescent="0.2">
      <c r="A26" s="236"/>
      <c r="B26" s="236"/>
      <c r="C26" s="236"/>
      <c r="D26" s="236"/>
      <c r="E26" s="236"/>
      <c r="F26" s="236"/>
    </row>
    <row r="27" spans="1:6" x14ac:dyDescent="0.2">
      <c r="A27" s="235" t="s">
        <v>308</v>
      </c>
      <c r="B27" s="235"/>
      <c r="C27" s="235"/>
      <c r="D27" s="235"/>
      <c r="E27" s="235"/>
      <c r="F27" s="235"/>
    </row>
    <row r="28" spans="1:6" x14ac:dyDescent="0.2">
      <c r="A28" s="235" t="s">
        <v>301</v>
      </c>
      <c r="B28" s="235" t="s">
        <v>257</v>
      </c>
      <c r="C28" s="235" t="s">
        <v>302</v>
      </c>
      <c r="D28" s="235"/>
      <c r="E28" s="235" t="s">
        <v>303</v>
      </c>
      <c r="F28" s="235" t="s">
        <v>304</v>
      </c>
    </row>
    <row r="29" spans="1:6" x14ac:dyDescent="0.2">
      <c r="A29" s="236">
        <v>5204</v>
      </c>
      <c r="B29" s="236" t="s">
        <v>291</v>
      </c>
      <c r="C29" s="236">
        <v>30</v>
      </c>
      <c r="D29" s="236" t="s">
        <v>290</v>
      </c>
      <c r="E29" s="236">
        <v>2.21</v>
      </c>
      <c r="F29" s="236">
        <f>E29*C29</f>
        <v>66.3</v>
      </c>
    </row>
    <row r="30" spans="1:6" x14ac:dyDescent="0.2">
      <c r="A30" s="236">
        <v>3664</v>
      </c>
      <c r="B30" s="236" t="s">
        <v>294</v>
      </c>
      <c r="C30" s="236">
        <v>2</v>
      </c>
      <c r="D30" s="236" t="s">
        <v>293</v>
      </c>
      <c r="E30" s="236">
        <v>5.96</v>
      </c>
      <c r="F30" s="236">
        <f>E30*C30</f>
        <v>11.92</v>
      </c>
    </row>
    <row r="31" spans="1:6" x14ac:dyDescent="0.2">
      <c r="A31" s="236">
        <v>6108</v>
      </c>
      <c r="B31" s="236" t="s">
        <v>299</v>
      </c>
      <c r="C31" s="236">
        <v>2</v>
      </c>
      <c r="D31" s="236" t="s">
        <v>293</v>
      </c>
      <c r="E31" s="236">
        <v>0.15</v>
      </c>
      <c r="F31" s="236">
        <f>E31*C31</f>
        <v>0.3</v>
      </c>
    </row>
    <row r="32" spans="1:6" x14ac:dyDescent="0.2">
      <c r="A32" s="236">
        <v>1898</v>
      </c>
      <c r="B32" s="236" t="s">
        <v>298</v>
      </c>
      <c r="C32" s="236">
        <v>3</v>
      </c>
      <c r="D32" s="236" t="s">
        <v>293</v>
      </c>
      <c r="E32" s="236">
        <v>6.23</v>
      </c>
      <c r="F32" s="236">
        <f>E32*C32</f>
        <v>18.690000000000001</v>
      </c>
    </row>
    <row r="33" spans="1:6" x14ac:dyDescent="0.2">
      <c r="A33" s="236"/>
      <c r="B33" s="236"/>
      <c r="C33" s="236"/>
      <c r="D33" s="236"/>
      <c r="E33" s="235" t="s">
        <v>307</v>
      </c>
      <c r="F33" s="235">
        <f>SUM(F29:F32)</f>
        <v>97.21</v>
      </c>
    </row>
    <row r="34" spans="1:6" x14ac:dyDescent="0.2">
      <c r="A34" s="236"/>
      <c r="B34" s="236"/>
      <c r="C34" s="236"/>
      <c r="D34" s="236"/>
      <c r="E34" s="236"/>
      <c r="F34" s="236"/>
    </row>
    <row r="35" spans="1:6" x14ac:dyDescent="0.2">
      <c r="A35" s="235" t="s">
        <v>309</v>
      </c>
      <c r="B35" s="235"/>
      <c r="C35" s="235"/>
      <c r="D35" s="235"/>
      <c r="E35" s="235"/>
      <c r="F35" s="235"/>
    </row>
    <row r="36" spans="1:6" x14ac:dyDescent="0.2">
      <c r="A36" s="235" t="s">
        <v>301</v>
      </c>
      <c r="B36" s="235" t="s">
        <v>257</v>
      </c>
      <c r="C36" s="235" t="s">
        <v>302</v>
      </c>
      <c r="D36" s="235"/>
      <c r="E36" s="235" t="s">
        <v>303</v>
      </c>
      <c r="F36" s="235" t="s">
        <v>304</v>
      </c>
    </row>
    <row r="37" spans="1:6" x14ac:dyDescent="0.2">
      <c r="A37" s="236">
        <v>6779</v>
      </c>
      <c r="B37" s="236" t="s">
        <v>310</v>
      </c>
      <c r="C37" s="236">
        <v>1</v>
      </c>
      <c r="D37" s="236" t="s">
        <v>293</v>
      </c>
      <c r="E37" s="236">
        <v>22.58</v>
      </c>
      <c r="F37" s="236">
        <f>E37*C37</f>
        <v>22.58</v>
      </c>
    </row>
    <row r="38" spans="1:6" x14ac:dyDescent="0.2">
      <c r="A38" s="236">
        <v>6108</v>
      </c>
      <c r="B38" s="236" t="s">
        <v>299</v>
      </c>
      <c r="C38" s="236">
        <v>1</v>
      </c>
      <c r="D38" s="236" t="s">
        <v>293</v>
      </c>
      <c r="E38" s="236">
        <v>0.15</v>
      </c>
      <c r="F38" s="236">
        <f>E38*C38</f>
        <v>0.15</v>
      </c>
    </row>
    <row r="39" spans="1:6" x14ac:dyDescent="0.2">
      <c r="A39" s="236">
        <v>1898</v>
      </c>
      <c r="B39" s="236" t="s">
        <v>311</v>
      </c>
      <c r="C39" s="236">
        <v>1</v>
      </c>
      <c r="D39" s="236" t="s">
        <v>293</v>
      </c>
      <c r="E39" s="236">
        <v>6.23</v>
      </c>
      <c r="F39" s="236">
        <f>E39*C39</f>
        <v>6.23</v>
      </c>
    </row>
    <row r="40" spans="1:6" x14ac:dyDescent="0.2">
      <c r="A40" s="236"/>
      <c r="B40" s="236" t="s">
        <v>312</v>
      </c>
      <c r="C40" s="236"/>
      <c r="D40" s="236"/>
      <c r="E40" s="235" t="s">
        <v>307</v>
      </c>
      <c r="F40" s="235">
        <f>SUM(F37:F39)</f>
        <v>28.959999999999997</v>
      </c>
    </row>
    <row r="41" spans="1:6" x14ac:dyDescent="0.2">
      <c r="A41" s="236"/>
      <c r="B41" s="236"/>
      <c r="C41" s="236"/>
      <c r="D41" s="236"/>
      <c r="E41" s="236"/>
      <c r="F41" s="236"/>
    </row>
    <row r="42" spans="1:6" x14ac:dyDescent="0.2">
      <c r="A42" s="235" t="s">
        <v>309</v>
      </c>
      <c r="B42" s="235"/>
      <c r="C42" s="235"/>
      <c r="D42" s="235"/>
      <c r="E42" s="235"/>
      <c r="F42" s="235"/>
    </row>
    <row r="43" spans="1:6" x14ac:dyDescent="0.2">
      <c r="A43" s="235" t="s">
        <v>301</v>
      </c>
      <c r="B43" s="235" t="s">
        <v>257</v>
      </c>
      <c r="C43" s="235" t="s">
        <v>302</v>
      </c>
      <c r="D43" s="235"/>
      <c r="E43" s="235" t="s">
        <v>303</v>
      </c>
      <c r="F43" s="235" t="s">
        <v>304</v>
      </c>
    </row>
    <row r="44" spans="1:6" x14ac:dyDescent="0.2">
      <c r="A44" s="236">
        <v>6779</v>
      </c>
      <c r="B44" s="236" t="s">
        <v>310</v>
      </c>
      <c r="C44" s="236">
        <v>2</v>
      </c>
      <c r="D44" s="236" t="s">
        <v>293</v>
      </c>
      <c r="E44" s="236">
        <v>22.58</v>
      </c>
      <c r="F44" s="236">
        <f>E44*C44</f>
        <v>45.16</v>
      </c>
    </row>
    <row r="45" spans="1:6" x14ac:dyDescent="0.2">
      <c r="A45" s="236">
        <v>6108</v>
      </c>
      <c r="B45" s="236" t="s">
        <v>299</v>
      </c>
      <c r="C45" s="236">
        <v>1</v>
      </c>
      <c r="D45" s="236" t="s">
        <v>293</v>
      </c>
      <c r="E45" s="236">
        <v>0.15</v>
      </c>
      <c r="F45" s="236">
        <f>E45*C45</f>
        <v>0.15</v>
      </c>
    </row>
    <row r="46" spans="1:6" x14ac:dyDescent="0.2">
      <c r="A46" s="236">
        <v>1898</v>
      </c>
      <c r="B46" s="236" t="s">
        <v>298</v>
      </c>
      <c r="C46" s="236">
        <v>3</v>
      </c>
      <c r="D46" s="236" t="s">
        <v>293</v>
      </c>
      <c r="E46" s="236">
        <v>6.23</v>
      </c>
      <c r="F46" s="236">
        <f>E46*C46</f>
        <v>18.690000000000001</v>
      </c>
    </row>
    <row r="47" spans="1:6" x14ac:dyDescent="0.2">
      <c r="A47" s="236"/>
      <c r="B47" s="236" t="s">
        <v>312</v>
      </c>
      <c r="C47" s="236"/>
      <c r="D47" s="236"/>
      <c r="E47" s="236"/>
      <c r="F47" s="236">
        <f>E47*C47</f>
        <v>0</v>
      </c>
    </row>
    <row r="48" spans="1:6" x14ac:dyDescent="0.2">
      <c r="A48" s="236"/>
      <c r="B48" s="236"/>
      <c r="C48" s="236"/>
      <c r="D48" s="236"/>
      <c r="E48" s="235" t="s">
        <v>307</v>
      </c>
      <c r="F48" s="235">
        <f>SUM(F44:F47)</f>
        <v>64</v>
      </c>
    </row>
  </sheetData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WACC</vt:lpstr>
      <vt:lpstr>Escalators</vt:lpstr>
      <vt:lpstr>Field Officer Visit Costs</vt:lpstr>
      <vt:lpstr>Quoted Services</vt:lpstr>
      <vt:lpstr>Connection Fees</vt:lpstr>
      <vt:lpstr>Meter Equipment Test</vt:lpstr>
      <vt:lpstr>2015 Remote Reconfig</vt:lpstr>
      <vt:lpstr>Exit fee</vt:lpstr>
      <vt:lpstr>Materials cost</vt:lpstr>
    </vt:vector>
  </TitlesOfParts>
  <Company>SP-Ausnet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Stuart Downes</dc:creator>
  <cp:lastModifiedBy>Eric Howie</cp:lastModifiedBy>
  <dcterms:created xsi:type="dcterms:W3CDTF">2015-02-23T23:48:54Z</dcterms:created>
  <dcterms:modified xsi:type="dcterms:W3CDTF">2016-01-05T04:06:09Z</dcterms:modified>
</cp:coreProperties>
</file>