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365" yWindow="600" windowWidth="3030" windowHeight="4890" tabRatio="937"/>
  </bookViews>
  <sheets>
    <sheet name="Contents" sheetId="11" r:id="rId1"/>
    <sheet name="Escalators" sheetId="3" r:id="rId2"/>
    <sheet name="Lab_Rates" sheetId="16" r:id="rId3"/>
    <sheet name="Rpt_Cat" sheetId="38" r:id="rId4"/>
    <sheet name="Unit_Rates" sheetId="17" r:id="rId5"/>
    <sheet name="Feeder_Vols" sheetId="39" r:id="rId6"/>
    <sheet name="Schedule" sheetId="43" r:id="rId7"/>
    <sheet name="Opex_Inputs" sheetId="5" r:id="rId8"/>
    <sheet name="BN_Det" sheetId="21" r:id="rId9"/>
    <sheet name="KLO_Det" sheetId="24" r:id="rId10"/>
    <sheet name="LLG_Det" sheetId="27" r:id="rId11"/>
    <sheet name="MSD_Det" sheetId="19" r:id="rId12"/>
    <sheet name="SLE_Det" sheetId="29" r:id="rId13"/>
    <sheet name="New_KLO2" sheetId="47" r:id="rId14"/>
    <sheet name="Other_Capex" sheetId="41" r:id="rId15"/>
    <sheet name="Stat_Phasing" sheetId="40" state="hidden" r:id="rId16"/>
    <sheet name="Direct_Capex_Totals" sheetId="2" r:id="rId17"/>
    <sheet name="Direct_Capex_Composition" sheetId="1" r:id="rId18"/>
    <sheet name="Direct_Summary" sheetId="13" r:id="rId19"/>
    <sheet name="Overheads" sheetId="6" r:id="rId20"/>
    <sheet name="Capex_by_Purpose" sheetId="12" r:id="rId21"/>
    <sheet name="Station_Summary" sheetId="7" r:id="rId22"/>
    <sheet name="Other_Tables" sheetId="15" r:id="rId23"/>
    <sheet name="PTRM_Inputs" sheetId="4" r:id="rId24"/>
    <sheet name="Cost_Summary" sheetId="44" r:id="rId25"/>
    <sheet name="Inc_Rev" sheetId="9" r:id="rId26"/>
    <sheet name="Inc_RAB" sheetId="8" r:id="rId27"/>
    <sheet name="Inc_Tax" sheetId="10" r:id="rId28"/>
    <sheet name="T1_Allowance" sheetId="42" r:id="rId29"/>
    <sheet name="T2_Allowance" sheetId="48" r:id="rId30"/>
  </sheets>
  <definedNames>
    <definedName name="_xlnm.Print_Area" localSheetId="8">BN_Det!$A$2:$P$98</definedName>
    <definedName name="_xlnm.Print_Area" localSheetId="9">KLO_Det!$A$2:$P$99</definedName>
    <definedName name="_xlnm.Print_Area" localSheetId="10">LLG_Det!$A$2:$P$97</definedName>
    <definedName name="_xlnm.Print_Area" localSheetId="11">MSD_Det!$A$2:$P$96</definedName>
    <definedName name="_xlnm.Print_Area" localSheetId="14">Other_Capex!$A$1:$L$40</definedName>
    <definedName name="_xlnm.Print_Area" localSheetId="12">SLE_Det!$A$2:$P$99</definedName>
    <definedName name="STN_1">Rpt_Cat!$C$13</definedName>
    <definedName name="STN_2">Rpt_Cat!$C$14</definedName>
    <definedName name="STN_3">Rpt_Cat!$C$15</definedName>
    <definedName name="STN_4">Rpt_Cat!$C$16</definedName>
    <definedName name="STN_5">Rpt_Cat!$C$17</definedName>
    <definedName name="STN_9">Rpt_Cat!$C$18</definedName>
    <definedName name="Thousands">Escalators!$C$46</definedName>
  </definedNames>
  <calcPr calcId="145621"/>
  <fileRecoveryPr repairLoad="1"/>
</workbook>
</file>

<file path=xl/calcChain.xml><?xml version="1.0" encoding="utf-8"?>
<calcChain xmlns="http://schemas.openxmlformats.org/spreadsheetml/2006/main">
  <c r="U71" i="17" l="1"/>
  <c r="T71" i="17"/>
  <c r="S71" i="17"/>
  <c r="R71" i="17"/>
  <c r="Q71" i="17"/>
  <c r="U75" i="17"/>
  <c r="U74" i="17"/>
  <c r="U73" i="17"/>
  <c r="U72" i="17"/>
  <c r="G12" i="3" l="1"/>
  <c r="Y32" i="21"/>
  <c r="G35" i="48" l="1"/>
  <c r="F35" i="48"/>
  <c r="E35" i="48"/>
  <c r="C35" i="48"/>
  <c r="G32" i="48"/>
  <c r="F32" i="48"/>
  <c r="C32" i="48"/>
  <c r="F31" i="48"/>
  <c r="E31" i="48"/>
  <c r="C31" i="48"/>
  <c r="H50" i="48"/>
  <c r="H49" i="48"/>
  <c r="H48" i="48"/>
  <c r="H46" i="48"/>
  <c r="H45" i="48"/>
  <c r="H38" i="48"/>
  <c r="H37" i="48"/>
  <c r="H36" i="48"/>
  <c r="H34" i="48"/>
  <c r="H33" i="48"/>
  <c r="G38" i="48"/>
  <c r="F38" i="48"/>
  <c r="E38" i="48"/>
  <c r="D38" i="48"/>
  <c r="C38" i="48"/>
  <c r="G37" i="48"/>
  <c r="F37" i="48"/>
  <c r="E37" i="48"/>
  <c r="D37" i="48"/>
  <c r="C37" i="48"/>
  <c r="G36" i="48"/>
  <c r="F36" i="48"/>
  <c r="E36" i="48"/>
  <c r="D36" i="48"/>
  <c r="C36" i="48"/>
  <c r="D35" i="48"/>
  <c r="G34" i="48"/>
  <c r="F34" i="48"/>
  <c r="E34" i="48"/>
  <c r="D34" i="48"/>
  <c r="C34" i="48"/>
  <c r="G33" i="48"/>
  <c r="F33" i="48"/>
  <c r="E33" i="48"/>
  <c r="D33" i="48"/>
  <c r="C33" i="48"/>
  <c r="E32" i="48"/>
  <c r="G26" i="48"/>
  <c r="F26" i="48"/>
  <c r="E26" i="48"/>
  <c r="H26" i="48" s="1"/>
  <c r="D26" i="48"/>
  <c r="C26" i="48"/>
  <c r="G25" i="48"/>
  <c r="F25" i="48"/>
  <c r="E25" i="48"/>
  <c r="D25" i="48"/>
  <c r="C25" i="48"/>
  <c r="G24" i="48"/>
  <c r="F24" i="48"/>
  <c r="E24" i="48"/>
  <c r="D24" i="48"/>
  <c r="C24" i="48"/>
  <c r="H24" i="48" s="1"/>
  <c r="G23" i="48"/>
  <c r="F23" i="48"/>
  <c r="E23" i="48"/>
  <c r="D23" i="48"/>
  <c r="H23" i="48" s="1"/>
  <c r="C23" i="48"/>
  <c r="G22" i="48"/>
  <c r="F22" i="48"/>
  <c r="E22" i="48"/>
  <c r="H22" i="48" s="1"/>
  <c r="D22" i="48"/>
  <c r="C22" i="48"/>
  <c r="G21" i="48"/>
  <c r="F21" i="48"/>
  <c r="F27" i="48" s="1"/>
  <c r="E21" i="48"/>
  <c r="D21" i="48"/>
  <c r="C21" i="48"/>
  <c r="G20" i="48"/>
  <c r="G27" i="48" s="1"/>
  <c r="F20" i="48"/>
  <c r="E20" i="48"/>
  <c r="D20" i="48"/>
  <c r="C20" i="48"/>
  <c r="H20" i="48" s="1"/>
  <c r="G19" i="48"/>
  <c r="F19" i="48"/>
  <c r="E19" i="48"/>
  <c r="D19" i="48"/>
  <c r="D27" i="48" s="1"/>
  <c r="C19" i="48"/>
  <c r="H25" i="48"/>
  <c r="H21" i="48"/>
  <c r="E27" i="48"/>
  <c r="G13" i="48"/>
  <c r="F13" i="48"/>
  <c r="E13" i="48"/>
  <c r="D13" i="48"/>
  <c r="C13" i="48"/>
  <c r="H12" i="48"/>
  <c r="H11" i="48"/>
  <c r="H10" i="48"/>
  <c r="H9" i="48"/>
  <c r="H8" i="48"/>
  <c r="H7" i="48"/>
  <c r="H6" i="48"/>
  <c r="H13" i="48" s="1"/>
  <c r="H5" i="48"/>
  <c r="E51" i="48" l="1"/>
  <c r="E43" i="6" s="1"/>
  <c r="F51" i="48"/>
  <c r="F43" i="6" s="1"/>
  <c r="H47" i="48"/>
  <c r="H44" i="48"/>
  <c r="C51" i="48"/>
  <c r="C43" i="6" s="1"/>
  <c r="G51" i="48"/>
  <c r="G43" i="6" s="1"/>
  <c r="F39" i="48"/>
  <c r="E39" i="48"/>
  <c r="H35" i="48"/>
  <c r="D32" i="48"/>
  <c r="H32" i="48" s="1"/>
  <c r="D51" i="48"/>
  <c r="D43" i="6" s="1"/>
  <c r="H43" i="48"/>
  <c r="D31" i="48"/>
  <c r="G31" i="48"/>
  <c r="C39" i="48"/>
  <c r="H19" i="48"/>
  <c r="H27" i="48" s="1"/>
  <c r="C27" i="48"/>
  <c r="G39" i="48" l="1"/>
  <c r="H51" i="48"/>
  <c r="D39" i="48"/>
  <c r="H31" i="48"/>
  <c r="H39" i="48" s="1"/>
  <c r="F36" i="12"/>
  <c r="D36" i="12"/>
  <c r="AF42" i="12"/>
  <c r="G39" i="12"/>
  <c r="F39" i="12"/>
  <c r="E39" i="12"/>
  <c r="D39" i="12"/>
  <c r="G38" i="12"/>
  <c r="F38" i="12"/>
  <c r="E38" i="12"/>
  <c r="D38" i="12"/>
  <c r="C38" i="12"/>
  <c r="G37" i="12"/>
  <c r="F37" i="12"/>
  <c r="E37" i="12"/>
  <c r="D37" i="12"/>
  <c r="G36" i="12"/>
  <c r="E36" i="12"/>
  <c r="C36" i="12"/>
  <c r="G35" i="12"/>
  <c r="F35" i="12"/>
  <c r="E35" i="12"/>
  <c r="D35" i="12"/>
  <c r="C35" i="12"/>
  <c r="G59" i="6"/>
  <c r="F59" i="6"/>
  <c r="E59" i="6"/>
  <c r="D59" i="6"/>
  <c r="C59" i="6"/>
  <c r="L97" i="6" l="1"/>
  <c r="AF37" i="12"/>
  <c r="K97" i="6"/>
  <c r="L60" i="6"/>
  <c r="J97" i="6"/>
  <c r="K60" i="6"/>
  <c r="C37" i="12"/>
  <c r="N97" i="6"/>
  <c r="M97" i="6"/>
  <c r="M60" i="6"/>
  <c r="AF35" i="12"/>
  <c r="AF39" i="12"/>
  <c r="C39" i="12"/>
  <c r="AC41" i="12"/>
  <c r="AC43" i="12" s="1"/>
  <c r="AF36" i="12"/>
  <c r="J60" i="6"/>
  <c r="N60" i="6"/>
  <c r="AD41" i="12"/>
  <c r="AD43" i="12" s="1"/>
  <c r="AA41" i="12"/>
  <c r="AA43" i="12" s="1"/>
  <c r="AE41" i="12"/>
  <c r="AE43" i="12" s="1"/>
  <c r="AF38" i="12"/>
  <c r="AB41" i="12"/>
  <c r="AB43" i="12" s="1"/>
  <c r="AF41" i="12" l="1"/>
  <c r="AF43" i="12" s="1"/>
  <c r="Y49" i="27"/>
  <c r="D49" i="27"/>
  <c r="E49" i="27"/>
  <c r="G49" i="27"/>
  <c r="K49" i="27" s="1"/>
  <c r="F49" i="27" l="1"/>
  <c r="Q41" i="17" l="1"/>
  <c r="T41" i="17"/>
  <c r="U41" i="17"/>
  <c r="E41" i="21" l="1"/>
  <c r="D41" i="21"/>
  <c r="E40" i="21"/>
  <c r="D40" i="21"/>
  <c r="G41" i="21"/>
  <c r="Y41" i="21"/>
  <c r="Y40" i="24"/>
  <c r="G40" i="24"/>
  <c r="E40" i="24"/>
  <c r="D40" i="24"/>
  <c r="E39" i="24"/>
  <c r="D39" i="24"/>
  <c r="Y39" i="19"/>
  <c r="Y39" i="27"/>
  <c r="E39" i="27"/>
  <c r="D39" i="27"/>
  <c r="E38" i="27"/>
  <c r="D38" i="27"/>
  <c r="G39" i="19"/>
  <c r="K39" i="19" s="1"/>
  <c r="E39" i="19"/>
  <c r="D39" i="19"/>
  <c r="E38" i="19"/>
  <c r="D38" i="19"/>
  <c r="E37" i="19"/>
  <c r="D37" i="19"/>
  <c r="G39" i="29"/>
  <c r="E39" i="29"/>
  <c r="D39" i="29"/>
  <c r="E38" i="29"/>
  <c r="D38" i="29"/>
  <c r="Y39" i="29"/>
  <c r="F39" i="24" l="1"/>
  <c r="F40" i="24"/>
  <c r="G39" i="27"/>
  <c r="F40" i="21"/>
  <c r="K41" i="21"/>
  <c r="F37" i="19"/>
  <c r="F39" i="19"/>
  <c r="F41" i="21"/>
  <c r="F38" i="19"/>
  <c r="F38" i="27"/>
  <c r="F39" i="27"/>
  <c r="K39" i="29"/>
  <c r="F38" i="29"/>
  <c r="F39" i="29"/>
  <c r="I38" i="7" l="1"/>
  <c r="I37" i="7"/>
  <c r="I36" i="7"/>
  <c r="I35" i="7"/>
  <c r="I34" i="7"/>
  <c r="I33" i="7"/>
  <c r="B28" i="7"/>
  <c r="B27" i="7"/>
  <c r="B26" i="7"/>
  <c r="B25" i="7"/>
  <c r="B24" i="7"/>
  <c r="B23" i="7"/>
  <c r="R9" i="17"/>
  <c r="U9" i="17"/>
  <c r="I39" i="7" l="1"/>
  <c r="L56" i="40"/>
  <c r="M56" i="40" s="1"/>
  <c r="B56" i="40"/>
  <c r="L55" i="40"/>
  <c r="M55" i="40" s="1"/>
  <c r="B55" i="40"/>
  <c r="L54" i="40"/>
  <c r="M54" i="40" s="1"/>
  <c r="B54" i="40"/>
  <c r="L53" i="40"/>
  <c r="M53" i="40" s="1"/>
  <c r="B53" i="40"/>
  <c r="L52" i="40"/>
  <c r="M52" i="40" s="1"/>
  <c r="B52" i="40"/>
  <c r="L51" i="40"/>
  <c r="M51" i="40" s="1"/>
  <c r="B51" i="40"/>
  <c r="AG75" i="29" l="1"/>
  <c r="AH75" i="29" s="1"/>
  <c r="AG74" i="29"/>
  <c r="AH74" i="29" s="1"/>
  <c r="AG73" i="29"/>
  <c r="AH73" i="29" s="1"/>
  <c r="G75" i="29"/>
  <c r="G73" i="29"/>
  <c r="E75" i="29"/>
  <c r="D75" i="29"/>
  <c r="F75" i="29" s="1"/>
  <c r="E74" i="29"/>
  <c r="D74" i="29"/>
  <c r="E73" i="29"/>
  <c r="D73" i="29"/>
  <c r="F73" i="29" s="1"/>
  <c r="AG73" i="19"/>
  <c r="AH73" i="19" s="1"/>
  <c r="AG72" i="19"/>
  <c r="AH72" i="19" s="1"/>
  <c r="AG71" i="19"/>
  <c r="AH71" i="19" s="1"/>
  <c r="G73" i="19"/>
  <c r="G71" i="19"/>
  <c r="E73" i="19"/>
  <c r="D73" i="19"/>
  <c r="E72" i="19"/>
  <c r="D72" i="19"/>
  <c r="E71" i="19"/>
  <c r="D71" i="19"/>
  <c r="AG76" i="24"/>
  <c r="AH76" i="24" s="1"/>
  <c r="AG74" i="27"/>
  <c r="AH74" i="27" s="1"/>
  <c r="AG73" i="27"/>
  <c r="AH73" i="27" s="1"/>
  <c r="AG72" i="27"/>
  <c r="AH72" i="27" s="1"/>
  <c r="G74" i="27"/>
  <c r="G72" i="27"/>
  <c r="E74" i="27"/>
  <c r="D74" i="27"/>
  <c r="E73" i="27"/>
  <c r="D73" i="27"/>
  <c r="E72" i="27"/>
  <c r="D72" i="27"/>
  <c r="E76" i="24"/>
  <c r="D76" i="24"/>
  <c r="E75" i="24"/>
  <c r="D75" i="24"/>
  <c r="E74" i="24"/>
  <c r="D74" i="24"/>
  <c r="G76" i="24"/>
  <c r="AG75" i="24"/>
  <c r="AH75" i="24" s="1"/>
  <c r="D75" i="21"/>
  <c r="E75" i="21"/>
  <c r="D74" i="21"/>
  <c r="E74" i="21"/>
  <c r="AG74" i="21"/>
  <c r="AH74" i="21" s="1"/>
  <c r="AH75" i="21"/>
  <c r="AG75" i="21"/>
  <c r="G75" i="21"/>
  <c r="E75" i="17"/>
  <c r="G74" i="24"/>
  <c r="AG74" i="24"/>
  <c r="AH74" i="24" s="1"/>
  <c r="D73" i="21"/>
  <c r="E73" i="21"/>
  <c r="G73" i="21"/>
  <c r="AG73" i="21"/>
  <c r="AH73" i="21" s="1"/>
  <c r="Q13" i="39"/>
  <c r="P13" i="39"/>
  <c r="F76" i="24" l="1"/>
  <c r="F72" i="27"/>
  <c r="F74" i="27"/>
  <c r="F73" i="19"/>
  <c r="F74" i="24"/>
  <c r="F74" i="21"/>
  <c r="F73" i="27"/>
  <c r="F74" i="29"/>
  <c r="F75" i="24"/>
  <c r="F72" i="19"/>
  <c r="F71" i="19"/>
  <c r="F75" i="21"/>
  <c r="F73" i="21"/>
  <c r="B2" i="47" l="1"/>
  <c r="J17" i="47" l="1"/>
  <c r="M26" i="1" s="1"/>
  <c r="H17" i="47"/>
  <c r="K26" i="1" s="1"/>
  <c r="G17" i="47"/>
  <c r="J26" i="1" s="1"/>
  <c r="F17" i="47"/>
  <c r="I26" i="1" s="1"/>
  <c r="H26" i="15" l="1"/>
  <c r="H39" i="15"/>
  <c r="B27" i="11"/>
  <c r="K13" i="47" l="1"/>
  <c r="BD94" i="1" l="1"/>
  <c r="AZ94" i="1"/>
  <c r="H94" i="1"/>
  <c r="AY94" i="1" l="1"/>
  <c r="BC94" i="1"/>
  <c r="BB94" i="1"/>
  <c r="AX94" i="1"/>
  <c r="BA94" i="1"/>
  <c r="BE94" i="1"/>
  <c r="BG94" i="1" l="1"/>
  <c r="U44" i="17" l="1"/>
  <c r="U21" i="17"/>
  <c r="Q17" i="17"/>
  <c r="U17" i="17"/>
  <c r="G10" i="8" l="1"/>
  <c r="C10" i="8"/>
  <c r="F10" i="8"/>
  <c r="D10" i="8"/>
  <c r="E10" i="8"/>
  <c r="K94" i="1" l="1"/>
  <c r="J94" i="1"/>
  <c r="M94" i="1"/>
  <c r="L94" i="1"/>
  <c r="H93" i="2" l="1"/>
  <c r="V93" i="2"/>
  <c r="BH94" i="1" s="1"/>
  <c r="I94" i="1"/>
  <c r="O93" i="2" l="1"/>
  <c r="Y26" i="21"/>
  <c r="D26" i="21"/>
  <c r="E26" i="21"/>
  <c r="F26" i="21" l="1"/>
  <c r="L29" i="40" l="1"/>
  <c r="M29" i="40" s="1"/>
  <c r="B29" i="40"/>
  <c r="B28" i="40"/>
  <c r="B27" i="40"/>
  <c r="B26" i="40"/>
  <c r="B25" i="40"/>
  <c r="B24" i="40"/>
  <c r="BL104" i="1" l="1"/>
  <c r="BL103" i="1"/>
  <c r="BL102" i="1"/>
  <c r="BL101" i="1"/>
  <c r="BN100" i="1"/>
  <c r="BL100" i="1"/>
  <c r="BJ100" i="1"/>
  <c r="BN99" i="1"/>
  <c r="BL99" i="1"/>
  <c r="BM99" i="1" s="1"/>
  <c r="BK99" i="1"/>
  <c r="BJ99" i="1"/>
  <c r="BN98" i="1"/>
  <c r="BL98" i="1"/>
  <c r="BN97" i="1"/>
  <c r="BL97" i="1"/>
  <c r="BK97" i="1"/>
  <c r="BJ97" i="1"/>
  <c r="BN96" i="1"/>
  <c r="BL96" i="1"/>
  <c r="BM96" i="1" s="1"/>
  <c r="BK96" i="1"/>
  <c r="BN95" i="1"/>
  <c r="BL95" i="1"/>
  <c r="BK95" i="1"/>
  <c r="BJ95" i="1"/>
  <c r="BN93" i="1"/>
  <c r="BL93" i="1"/>
  <c r="BM93" i="1" s="1"/>
  <c r="BK93" i="1"/>
  <c r="BN88" i="1"/>
  <c r="BK88" i="1"/>
  <c r="BJ88" i="1"/>
  <c r="BN86" i="1"/>
  <c r="BK86" i="1"/>
  <c r="BN84" i="1"/>
  <c r="BN80" i="1"/>
  <c r="BK80" i="1"/>
  <c r="BJ80" i="1"/>
  <c r="BN78" i="1"/>
  <c r="BK78" i="1"/>
  <c r="BJ78" i="1"/>
  <c r="BN77" i="1"/>
  <c r="BK77" i="1"/>
  <c r="BJ77" i="1"/>
  <c r="BN76" i="1"/>
  <c r="BK76" i="1"/>
  <c r="BJ76" i="1"/>
  <c r="BN75" i="1"/>
  <c r="BK75" i="1"/>
  <c r="BJ75" i="1"/>
  <c r="BN72" i="1"/>
  <c r="BK72" i="1"/>
  <c r="BJ72" i="1"/>
  <c r="BN68" i="1"/>
  <c r="BN64" i="1"/>
  <c r="BK64" i="1"/>
  <c r="BJ64" i="1"/>
  <c r="BN60" i="1"/>
  <c r="BN56" i="1"/>
  <c r="BK56" i="1"/>
  <c r="BJ56" i="1"/>
  <c r="BN55" i="1"/>
  <c r="BN54" i="1"/>
  <c r="BN53" i="1"/>
  <c r="BN52" i="1"/>
  <c r="BN51" i="1"/>
  <c r="BN48" i="1"/>
  <c r="BK48" i="1"/>
  <c r="BJ48" i="1"/>
  <c r="BN47" i="1"/>
  <c r="BN46" i="1"/>
  <c r="BN45" i="1"/>
  <c r="BN44" i="1"/>
  <c r="BN43" i="1"/>
  <c r="BN40" i="1"/>
  <c r="BN39" i="1"/>
  <c r="BN32" i="1"/>
  <c r="BN31" i="1"/>
  <c r="BK40" i="1"/>
  <c r="BK39" i="1"/>
  <c r="BJ40" i="1"/>
  <c r="BJ39" i="1"/>
  <c r="BE80" i="1" l="1"/>
  <c r="BD80" i="1"/>
  <c r="BC80" i="1"/>
  <c r="BB80" i="1"/>
  <c r="BA80" i="1"/>
  <c r="AZ80" i="1"/>
  <c r="AY80" i="1"/>
  <c r="AX80" i="1"/>
  <c r="BE79" i="1"/>
  <c r="AZ79" i="1"/>
  <c r="AY79" i="1"/>
  <c r="AX79" i="1"/>
  <c r="BE78" i="1"/>
  <c r="BD78" i="1"/>
  <c r="BC78" i="1"/>
  <c r="BB78" i="1"/>
  <c r="BA78" i="1"/>
  <c r="AZ78" i="1"/>
  <c r="AY78" i="1"/>
  <c r="AX78" i="1"/>
  <c r="BE77" i="1"/>
  <c r="BD77" i="1"/>
  <c r="BC77" i="1"/>
  <c r="BB77" i="1"/>
  <c r="BA77" i="1"/>
  <c r="AZ77" i="1"/>
  <c r="AY77" i="1"/>
  <c r="AX77" i="1"/>
  <c r="BE76" i="1"/>
  <c r="BD76" i="1"/>
  <c r="BC76" i="1"/>
  <c r="BB76" i="1"/>
  <c r="BA76" i="1"/>
  <c r="AZ76" i="1"/>
  <c r="AY76" i="1"/>
  <c r="AX76" i="1"/>
  <c r="BE75" i="1"/>
  <c r="BD75" i="1"/>
  <c r="BC75" i="1"/>
  <c r="BB75" i="1"/>
  <c r="BA75" i="1"/>
  <c r="AZ75" i="1"/>
  <c r="AY75" i="1"/>
  <c r="AX75" i="1"/>
  <c r="L27" i="40" l="1"/>
  <c r="M27" i="40" s="1"/>
  <c r="L28" i="40"/>
  <c r="M28" i="40" s="1"/>
  <c r="L26" i="40"/>
  <c r="M26" i="40" s="1"/>
  <c r="L24" i="40"/>
  <c r="M24" i="40" s="1"/>
  <c r="L25" i="40"/>
  <c r="M25" i="40" s="1"/>
  <c r="AX37" i="1" l="1"/>
  <c r="S41" i="17" l="1"/>
  <c r="K39" i="27"/>
  <c r="C41" i="19"/>
  <c r="T75" i="17" l="1"/>
  <c r="T74" i="17"/>
  <c r="T73" i="17"/>
  <c r="T72" i="17"/>
  <c r="R41" i="17"/>
  <c r="K40" i="24"/>
  <c r="T9" i="17"/>
  <c r="T17" i="17"/>
  <c r="T44" i="17"/>
  <c r="T21" i="17"/>
  <c r="Y10" i="29" l="1"/>
  <c r="Y11" i="29"/>
  <c r="Y12" i="29"/>
  <c r="Y13" i="29"/>
  <c r="L10" i="41" l="1"/>
  <c r="L11" i="41"/>
  <c r="L12" i="41"/>
  <c r="N13" i="39" l="1"/>
  <c r="E82" i="17" l="1"/>
  <c r="Y17" i="21" l="1"/>
  <c r="G26" i="21" l="1"/>
  <c r="K26" i="21" s="1"/>
  <c r="G75" i="24"/>
  <c r="G74" i="21"/>
  <c r="G73" i="27"/>
  <c r="E74" i="17"/>
  <c r="G72" i="19"/>
  <c r="G74" i="29"/>
  <c r="M62" i="24"/>
  <c r="K56" i="19"/>
  <c r="K58" i="21"/>
  <c r="K56" i="29"/>
  <c r="BB88" i="1"/>
  <c r="BA88" i="1"/>
  <c r="AZ88" i="1"/>
  <c r="AY88" i="1"/>
  <c r="AX88" i="1"/>
  <c r="AZ87" i="1"/>
  <c r="AY87" i="1"/>
  <c r="AX87" i="1"/>
  <c r="AZ86" i="1"/>
  <c r="AY86" i="1"/>
  <c r="AX86" i="1"/>
  <c r="AZ85" i="1"/>
  <c r="AY85" i="1"/>
  <c r="AX85" i="1"/>
  <c r="AZ84" i="1"/>
  <c r="AY84" i="1"/>
  <c r="AX84" i="1"/>
  <c r="AZ83" i="1"/>
  <c r="AY83" i="1"/>
  <c r="AX83" i="1"/>
  <c r="BB72" i="1"/>
  <c r="BA72" i="1"/>
  <c r="AZ72" i="1"/>
  <c r="AY72" i="1"/>
  <c r="AX72" i="1"/>
  <c r="AZ71" i="1"/>
  <c r="AY71" i="1"/>
  <c r="AX71" i="1"/>
  <c r="AZ70" i="1"/>
  <c r="AY70" i="1"/>
  <c r="AX70" i="1"/>
  <c r="AZ69" i="1"/>
  <c r="AY69" i="1"/>
  <c r="AX69" i="1"/>
  <c r="AZ68" i="1"/>
  <c r="AY68" i="1"/>
  <c r="AX68" i="1"/>
  <c r="AZ67" i="1"/>
  <c r="AY67" i="1"/>
  <c r="AX67" i="1"/>
  <c r="BB64" i="1"/>
  <c r="BA64" i="1"/>
  <c r="AZ64" i="1"/>
  <c r="AY64" i="1"/>
  <c r="AX64" i="1"/>
  <c r="AZ63" i="1"/>
  <c r="AY63" i="1"/>
  <c r="AX63" i="1"/>
  <c r="AZ62" i="1"/>
  <c r="AY62" i="1"/>
  <c r="AX62" i="1"/>
  <c r="AZ61" i="1"/>
  <c r="AY61" i="1"/>
  <c r="AX61" i="1"/>
  <c r="AZ60" i="1"/>
  <c r="AY60" i="1"/>
  <c r="AX60" i="1"/>
  <c r="AZ59" i="1"/>
  <c r="AY59" i="1"/>
  <c r="AX59" i="1"/>
  <c r="BB56" i="1"/>
  <c r="BA56" i="1"/>
  <c r="AZ56" i="1"/>
  <c r="AY56" i="1"/>
  <c r="AX56" i="1"/>
  <c r="AZ55" i="1"/>
  <c r="AY55" i="1"/>
  <c r="AX55" i="1"/>
  <c r="AZ54" i="1"/>
  <c r="AY54" i="1"/>
  <c r="AX54" i="1"/>
  <c r="AZ53" i="1"/>
  <c r="AY53" i="1"/>
  <c r="AX53" i="1"/>
  <c r="AZ52" i="1"/>
  <c r="AY52" i="1"/>
  <c r="AX52" i="1"/>
  <c r="AZ51" i="1"/>
  <c r="AY51" i="1"/>
  <c r="AX51" i="1"/>
  <c r="BB48" i="1"/>
  <c r="BA48" i="1"/>
  <c r="AZ48" i="1"/>
  <c r="AY48" i="1"/>
  <c r="AX48" i="1"/>
  <c r="AZ47" i="1"/>
  <c r="AY47" i="1"/>
  <c r="AX47" i="1"/>
  <c r="AY46" i="1"/>
  <c r="AX46" i="1"/>
  <c r="AZ45" i="1"/>
  <c r="AY45" i="1"/>
  <c r="AX45" i="1"/>
  <c r="AZ44" i="1"/>
  <c r="AY44" i="1"/>
  <c r="AX44" i="1"/>
  <c r="AZ43" i="1"/>
  <c r="AY43" i="1"/>
  <c r="AX43" i="1"/>
  <c r="BB40" i="1"/>
  <c r="BA40" i="1"/>
  <c r="AZ40" i="1"/>
  <c r="AY40" i="1"/>
  <c r="AX40" i="1"/>
  <c r="BB39" i="1"/>
  <c r="BA39" i="1"/>
  <c r="AZ39" i="1"/>
  <c r="AY39" i="1"/>
  <c r="AX39" i="1"/>
  <c r="AZ38" i="1"/>
  <c r="AY38" i="1"/>
  <c r="AX38" i="1"/>
  <c r="AZ37" i="1"/>
  <c r="AY37" i="1"/>
  <c r="AZ36" i="1"/>
  <c r="AY36" i="1"/>
  <c r="AX36" i="1"/>
  <c r="AZ35" i="1"/>
  <c r="AY35" i="1"/>
  <c r="AX35" i="1"/>
  <c r="AZ34" i="1"/>
  <c r="AY34" i="1"/>
  <c r="AX34" i="1"/>
  <c r="AZ33" i="1"/>
  <c r="AY33" i="1"/>
  <c r="AX33" i="1"/>
  <c r="AZ32" i="1"/>
  <c r="AY32" i="1"/>
  <c r="AX32" i="1"/>
  <c r="AZ31" i="1"/>
  <c r="AY31" i="1"/>
  <c r="AX31" i="1"/>
  <c r="AZ30" i="1"/>
  <c r="AY30" i="1"/>
  <c r="AX30" i="1"/>
  <c r="AZ29" i="1"/>
  <c r="AY29" i="1"/>
  <c r="AX29" i="1"/>
  <c r="K57" i="24" l="1"/>
  <c r="K39" i="24"/>
  <c r="G15" i="47"/>
  <c r="G16" i="47"/>
  <c r="J25" i="1" s="1"/>
  <c r="G8" i="47"/>
  <c r="F15" i="47"/>
  <c r="F16" i="47"/>
  <c r="F8" i="47"/>
  <c r="K6" i="47"/>
  <c r="I16" i="47"/>
  <c r="L25" i="1" s="1"/>
  <c r="I15" i="47"/>
  <c r="I8" i="47"/>
  <c r="H15" i="47"/>
  <c r="H16" i="47"/>
  <c r="K25" i="1" s="1"/>
  <c r="H8" i="47"/>
  <c r="I17" i="47"/>
  <c r="K7" i="47"/>
  <c r="J15" i="47"/>
  <c r="J16" i="47"/>
  <c r="M25" i="1" s="1"/>
  <c r="J8" i="47"/>
  <c r="M64" i="4"/>
  <c r="L64" i="4"/>
  <c r="K64" i="4"/>
  <c r="J64" i="4"/>
  <c r="I64" i="4"/>
  <c r="N63" i="4"/>
  <c r="N62" i="4"/>
  <c r="N61" i="4"/>
  <c r="N60" i="4"/>
  <c r="N59" i="4"/>
  <c r="N58" i="4"/>
  <c r="N57" i="4"/>
  <c r="N56" i="4"/>
  <c r="M52" i="4"/>
  <c r="L52" i="4"/>
  <c r="K52" i="4"/>
  <c r="J52" i="4"/>
  <c r="I52" i="4"/>
  <c r="N51" i="4"/>
  <c r="N50" i="4"/>
  <c r="N49" i="4"/>
  <c r="N48" i="4"/>
  <c r="N47" i="4"/>
  <c r="N46" i="4"/>
  <c r="N45" i="4"/>
  <c r="N44" i="4"/>
  <c r="N38" i="4"/>
  <c r="N37" i="4"/>
  <c r="N36" i="4"/>
  <c r="N35" i="4"/>
  <c r="N34" i="4"/>
  <c r="N33" i="4"/>
  <c r="N32" i="4"/>
  <c r="N31" i="4"/>
  <c r="M39" i="4"/>
  <c r="L39" i="4"/>
  <c r="K39" i="4"/>
  <c r="J39" i="4"/>
  <c r="I39" i="4"/>
  <c r="M26" i="4"/>
  <c r="L26" i="4"/>
  <c r="K26" i="4"/>
  <c r="J26" i="4"/>
  <c r="I26" i="4"/>
  <c r="H25" i="4"/>
  <c r="N25" i="4"/>
  <c r="N24" i="4"/>
  <c r="N23" i="4"/>
  <c r="N22" i="4"/>
  <c r="N21" i="4"/>
  <c r="N20" i="4"/>
  <c r="N19" i="4"/>
  <c r="N18" i="4"/>
  <c r="K24" i="1" l="1"/>
  <c r="H18" i="47"/>
  <c r="H19" i="47" s="1"/>
  <c r="I18" i="47"/>
  <c r="I19" i="47" s="1"/>
  <c r="L24" i="1"/>
  <c r="I24" i="1"/>
  <c r="K15" i="47"/>
  <c r="F18" i="47"/>
  <c r="F19" i="47" s="1"/>
  <c r="U10" i="2"/>
  <c r="L26" i="1"/>
  <c r="K17" i="47"/>
  <c r="R10" i="2"/>
  <c r="S10" i="2"/>
  <c r="Q10" i="2"/>
  <c r="K8" i="47"/>
  <c r="M24" i="1"/>
  <c r="J18" i="47"/>
  <c r="J19" i="47" s="1"/>
  <c r="T10" i="2"/>
  <c r="I25" i="1"/>
  <c r="K16" i="47"/>
  <c r="J24" i="1"/>
  <c r="G18" i="47"/>
  <c r="G19" i="47" s="1"/>
  <c r="N39" i="4"/>
  <c r="N26" i="4"/>
  <c r="N52" i="4"/>
  <c r="N64" i="4"/>
  <c r="K18" i="47" l="1"/>
  <c r="K19" i="47" s="1"/>
  <c r="H43" i="6" l="1"/>
  <c r="Y19" i="24" l="1"/>
  <c r="Y42" i="29"/>
  <c r="E42" i="29"/>
  <c r="D42" i="29"/>
  <c r="Y41" i="29"/>
  <c r="Y42" i="19"/>
  <c r="Y41" i="19"/>
  <c r="Y42" i="27"/>
  <c r="Y41" i="27"/>
  <c r="C42" i="27"/>
  <c r="E17" i="24"/>
  <c r="D17" i="24"/>
  <c r="S75" i="17" l="1"/>
  <c r="S72" i="17"/>
  <c r="S74" i="17"/>
  <c r="S73" i="17"/>
  <c r="S9" i="17"/>
  <c r="D42" i="27"/>
  <c r="S44" i="17"/>
  <c r="S21" i="17"/>
  <c r="S17" i="17"/>
  <c r="G17" i="24"/>
  <c r="K17" i="24" s="1"/>
  <c r="E41" i="19"/>
  <c r="E42" i="27"/>
  <c r="E41" i="29"/>
  <c r="D41" i="29"/>
  <c r="D41" i="19"/>
  <c r="F42" i="29"/>
  <c r="G42" i="29"/>
  <c r="K42" i="29" s="1"/>
  <c r="G41" i="29"/>
  <c r="K41" i="29" s="1"/>
  <c r="G41" i="19"/>
  <c r="K41" i="19" s="1"/>
  <c r="G41" i="27"/>
  <c r="K41" i="27" s="1"/>
  <c r="D41" i="27"/>
  <c r="E41" i="27"/>
  <c r="G42" i="27"/>
  <c r="K42" i="27" s="1"/>
  <c r="F17" i="24"/>
  <c r="F42" i="27" l="1"/>
  <c r="F41" i="19"/>
  <c r="F41" i="29"/>
  <c r="F41" i="27"/>
  <c r="Y43" i="24" l="1"/>
  <c r="Y42" i="24"/>
  <c r="C43" i="24"/>
  <c r="C42" i="24"/>
  <c r="Y44" i="21"/>
  <c r="Y43" i="21"/>
  <c r="C43" i="21"/>
  <c r="R75" i="17" l="1"/>
  <c r="R74" i="17"/>
  <c r="R73" i="17"/>
  <c r="R72" i="17"/>
  <c r="Q75" i="17"/>
  <c r="Q72" i="17"/>
  <c r="Q74" i="17"/>
  <c r="Q73" i="17"/>
  <c r="Q9" i="17"/>
  <c r="R44" i="17"/>
  <c r="R21" i="17"/>
  <c r="R17" i="17"/>
  <c r="Q44" i="17"/>
  <c r="Q21" i="17"/>
  <c r="E44" i="21"/>
  <c r="D43" i="24"/>
  <c r="G43" i="24"/>
  <c r="K43" i="24" s="1"/>
  <c r="G42" i="24"/>
  <c r="K42" i="24" s="1"/>
  <c r="E42" i="24"/>
  <c r="D43" i="21"/>
  <c r="E43" i="24"/>
  <c r="E43" i="21"/>
  <c r="D44" i="21"/>
  <c r="D42" i="24"/>
  <c r="G43" i="21"/>
  <c r="K43" i="21" s="1"/>
  <c r="G44" i="21"/>
  <c r="K44" i="21" s="1"/>
  <c r="F44" i="21" l="1"/>
  <c r="F43" i="24"/>
  <c r="F42" i="24"/>
  <c r="F43" i="21"/>
  <c r="M14" i="4" l="1"/>
  <c r="L14" i="4"/>
  <c r="N9" i="4"/>
  <c r="N8" i="4"/>
  <c r="G18" i="24" l="1"/>
  <c r="BE43" i="1" l="1"/>
  <c r="BE51" i="1"/>
  <c r="BE59" i="1"/>
  <c r="BE67" i="1"/>
  <c r="BE83" i="1"/>
  <c r="BE30" i="1"/>
  <c r="BE29" i="1"/>
  <c r="D25" i="29" l="1"/>
  <c r="E25" i="29"/>
  <c r="D26" i="29"/>
  <c r="E26" i="29"/>
  <c r="E26" i="27"/>
  <c r="D26" i="27"/>
  <c r="E25" i="27"/>
  <c r="D25" i="27"/>
  <c r="F26" i="27" l="1"/>
  <c r="F25" i="29"/>
  <c r="F25" i="27"/>
  <c r="F26" i="29"/>
  <c r="E27" i="24"/>
  <c r="D27" i="24"/>
  <c r="E26" i="24"/>
  <c r="D26" i="24"/>
  <c r="F26" i="24" l="1"/>
  <c r="F27" i="24"/>
  <c r="B109" i="2" l="1"/>
  <c r="B110" i="2"/>
  <c r="C12" i="3" l="1"/>
  <c r="F12" i="3"/>
  <c r="E12" i="3"/>
  <c r="D12" i="3"/>
  <c r="P46" i="1" l="1"/>
  <c r="AH46" i="1"/>
  <c r="Y46" i="1"/>
  <c r="AZ46" i="1" l="1"/>
  <c r="K57" i="27" l="1"/>
  <c r="G21" i="19" l="1"/>
  <c r="K21" i="19" s="1"/>
  <c r="C37" i="3"/>
  <c r="U88" i="17"/>
  <c r="T88" i="17"/>
  <c r="S88" i="17"/>
  <c r="R88" i="17"/>
  <c r="Q88" i="17"/>
  <c r="U77" i="17"/>
  <c r="T77" i="17"/>
  <c r="S77" i="17"/>
  <c r="R77" i="17"/>
  <c r="Q77" i="17"/>
  <c r="U76" i="17"/>
  <c r="T76" i="17"/>
  <c r="S76" i="17"/>
  <c r="R76" i="17"/>
  <c r="Q76" i="17"/>
  <c r="U66" i="17"/>
  <c r="T66" i="17"/>
  <c r="S66" i="17"/>
  <c r="R66" i="17"/>
  <c r="Q66" i="17"/>
  <c r="U59" i="17"/>
  <c r="T59" i="17"/>
  <c r="S59" i="17"/>
  <c r="R59" i="17"/>
  <c r="Q59" i="17"/>
  <c r="U58" i="17"/>
  <c r="T58" i="17"/>
  <c r="S58" i="17"/>
  <c r="R58" i="17"/>
  <c r="Q58" i="17"/>
  <c r="U57" i="17"/>
  <c r="T57" i="17"/>
  <c r="S57" i="17"/>
  <c r="R57" i="17"/>
  <c r="Q57" i="17"/>
  <c r="U56" i="17"/>
  <c r="T56" i="17"/>
  <c r="S56" i="17"/>
  <c r="R56" i="17"/>
  <c r="Q56" i="17"/>
  <c r="U55" i="17"/>
  <c r="T55" i="17"/>
  <c r="S55" i="17"/>
  <c r="R55" i="17"/>
  <c r="Q55" i="17"/>
  <c r="U54" i="17"/>
  <c r="T54" i="17"/>
  <c r="S54" i="17"/>
  <c r="R54" i="17"/>
  <c r="Q54" i="17"/>
  <c r="U53" i="17"/>
  <c r="T53" i="17"/>
  <c r="S53" i="17"/>
  <c r="R53" i="17"/>
  <c r="Q53" i="17"/>
  <c r="U52" i="17"/>
  <c r="T52" i="17"/>
  <c r="S52" i="17"/>
  <c r="R52" i="17"/>
  <c r="Q52" i="17"/>
  <c r="U51" i="17"/>
  <c r="T51" i="17"/>
  <c r="S51" i="17"/>
  <c r="R51" i="17"/>
  <c r="Q51" i="17"/>
  <c r="U50" i="17"/>
  <c r="T50" i="17"/>
  <c r="S50" i="17"/>
  <c r="R50" i="17"/>
  <c r="Q50" i="17"/>
  <c r="U49" i="17"/>
  <c r="T49" i="17"/>
  <c r="S49" i="17"/>
  <c r="R49" i="17"/>
  <c r="Q49" i="17"/>
  <c r="U43" i="17"/>
  <c r="T43" i="17"/>
  <c r="S43" i="17"/>
  <c r="R43" i="17"/>
  <c r="Q43" i="17"/>
  <c r="U42" i="17"/>
  <c r="T42" i="17"/>
  <c r="S42" i="17"/>
  <c r="R42" i="17"/>
  <c r="Q42" i="17"/>
  <c r="U37" i="17"/>
  <c r="T37" i="17"/>
  <c r="S37" i="17"/>
  <c r="R37" i="17"/>
  <c r="Q37" i="17"/>
  <c r="U36" i="17"/>
  <c r="T36" i="17"/>
  <c r="S36" i="17"/>
  <c r="R36" i="17"/>
  <c r="Q36" i="17"/>
  <c r="U35" i="17"/>
  <c r="T35" i="17"/>
  <c r="S35" i="17"/>
  <c r="R35" i="17"/>
  <c r="Q35" i="17"/>
  <c r="U34" i="17"/>
  <c r="T34" i="17"/>
  <c r="S34" i="17"/>
  <c r="R34" i="17"/>
  <c r="Q34" i="17"/>
  <c r="U33" i="17"/>
  <c r="T33" i="17"/>
  <c r="S33" i="17"/>
  <c r="R33" i="17"/>
  <c r="Q33" i="17"/>
  <c r="U32" i="17"/>
  <c r="T32" i="17"/>
  <c r="S32" i="17"/>
  <c r="R32" i="17"/>
  <c r="Q32" i="17"/>
  <c r="U31" i="17"/>
  <c r="T31" i="17"/>
  <c r="S31" i="17"/>
  <c r="R31" i="17"/>
  <c r="Q31" i="17"/>
  <c r="U30" i="17"/>
  <c r="T30" i="17"/>
  <c r="S30" i="17"/>
  <c r="R30" i="17"/>
  <c r="Q30" i="17"/>
  <c r="U28" i="17"/>
  <c r="T28" i="17"/>
  <c r="S28" i="17"/>
  <c r="R28" i="17"/>
  <c r="Q28" i="17"/>
  <c r="U27" i="17"/>
  <c r="T27" i="17"/>
  <c r="S27" i="17"/>
  <c r="R27" i="17"/>
  <c r="Q27" i="17"/>
  <c r="U26" i="17"/>
  <c r="T26" i="17"/>
  <c r="S26" i="17"/>
  <c r="R26" i="17"/>
  <c r="Q26" i="17"/>
  <c r="U25" i="17"/>
  <c r="T25" i="17"/>
  <c r="S25" i="17"/>
  <c r="R25" i="17"/>
  <c r="Q25" i="17"/>
  <c r="U24" i="17"/>
  <c r="T24" i="17"/>
  <c r="S24" i="17"/>
  <c r="R24" i="17"/>
  <c r="Q24" i="17"/>
  <c r="U23" i="17"/>
  <c r="T23" i="17"/>
  <c r="S23" i="17"/>
  <c r="R23" i="17"/>
  <c r="Q23" i="17"/>
  <c r="U22" i="17"/>
  <c r="T22" i="17"/>
  <c r="S22" i="17"/>
  <c r="R22" i="17"/>
  <c r="Q22" i="17"/>
  <c r="U20" i="17"/>
  <c r="T20" i="17"/>
  <c r="S20" i="17"/>
  <c r="R20" i="17"/>
  <c r="Q20" i="17"/>
  <c r="U19" i="17"/>
  <c r="T19" i="17"/>
  <c r="S19" i="17"/>
  <c r="R19" i="17"/>
  <c r="Q19" i="17"/>
  <c r="U18" i="17"/>
  <c r="T18" i="17"/>
  <c r="S18" i="17"/>
  <c r="R18" i="17"/>
  <c r="Q18" i="17"/>
  <c r="U16" i="17"/>
  <c r="T16" i="17"/>
  <c r="S16" i="17"/>
  <c r="R16" i="17"/>
  <c r="Q16" i="17"/>
  <c r="U15" i="17"/>
  <c r="T15" i="17"/>
  <c r="S15" i="17"/>
  <c r="R15" i="17"/>
  <c r="Q15" i="17"/>
  <c r="U14" i="17"/>
  <c r="T14" i="17"/>
  <c r="S14" i="17"/>
  <c r="R14" i="17"/>
  <c r="Q14" i="17"/>
  <c r="U13" i="17"/>
  <c r="T13" i="17"/>
  <c r="S13" i="17"/>
  <c r="R13" i="17"/>
  <c r="Q13" i="17"/>
  <c r="U12" i="17"/>
  <c r="T12" i="17"/>
  <c r="S12" i="17"/>
  <c r="R12" i="17"/>
  <c r="Q12" i="17"/>
  <c r="U11" i="17"/>
  <c r="T11" i="17"/>
  <c r="S11" i="17"/>
  <c r="R11" i="17"/>
  <c r="Q11" i="17"/>
  <c r="U10" i="17"/>
  <c r="T10" i="17"/>
  <c r="S10" i="17"/>
  <c r="R10" i="17"/>
  <c r="Q10" i="17"/>
  <c r="U8" i="17"/>
  <c r="T8" i="17"/>
  <c r="S8" i="17"/>
  <c r="R8" i="17"/>
  <c r="Q8" i="17"/>
  <c r="U7" i="17"/>
  <c r="T7" i="17"/>
  <c r="S7" i="17"/>
  <c r="R7" i="17"/>
  <c r="Q7" i="17"/>
  <c r="V6" i="17"/>
  <c r="U6" i="17"/>
  <c r="T6" i="17"/>
  <c r="S6" i="17"/>
  <c r="R6" i="17"/>
  <c r="Q6" i="17"/>
  <c r="C55" i="39"/>
  <c r="B54" i="39"/>
  <c r="B53" i="39"/>
  <c r="B52" i="39"/>
  <c r="B51" i="39"/>
  <c r="B50" i="39"/>
  <c r="B49" i="39"/>
  <c r="AG80" i="29"/>
  <c r="AH80" i="29" s="1"/>
  <c r="AG79" i="29"/>
  <c r="AH79" i="29" s="1"/>
  <c r="AG78" i="19"/>
  <c r="AH78" i="19" s="1"/>
  <c r="AG77" i="19"/>
  <c r="AH77" i="19" s="1"/>
  <c r="AG79" i="27"/>
  <c r="AH79" i="27" s="1"/>
  <c r="AG78" i="27"/>
  <c r="AH78" i="27" s="1"/>
  <c r="AG81" i="24"/>
  <c r="AH81" i="24" s="1"/>
  <c r="AG80" i="24"/>
  <c r="AH80" i="24" s="1"/>
  <c r="AG82" i="21"/>
  <c r="AH82" i="21" s="1"/>
  <c r="AG81" i="21"/>
  <c r="AH81" i="21" s="1"/>
  <c r="AG80" i="21"/>
  <c r="AH80" i="21" s="1"/>
  <c r="AG79" i="21"/>
  <c r="AH79" i="21" s="1"/>
  <c r="AC103" i="1"/>
  <c r="G20" i="21"/>
  <c r="K20" i="21" s="1"/>
  <c r="K18" i="24"/>
  <c r="Z100" i="1"/>
  <c r="U93" i="1"/>
  <c r="BE93" i="1" s="1"/>
  <c r="D8" i="3"/>
  <c r="E8" i="3" s="1"/>
  <c r="M61" i="29"/>
  <c r="M59" i="19"/>
  <c r="M60" i="27"/>
  <c r="M61" i="21"/>
  <c r="C5" i="3"/>
  <c r="C7" i="3" s="1"/>
  <c r="N45" i="41"/>
  <c r="N21" i="41"/>
  <c r="N20" i="41"/>
  <c r="N17" i="41"/>
  <c r="N16" i="41"/>
  <c r="N15" i="41"/>
  <c r="N11" i="41"/>
  <c r="N10" i="41"/>
  <c r="AA11" i="40"/>
  <c r="Z11" i="40"/>
  <c r="AA10" i="40"/>
  <c r="Z10" i="40"/>
  <c r="AA9" i="40"/>
  <c r="Z9" i="40"/>
  <c r="AA8" i="40"/>
  <c r="Z8" i="40"/>
  <c r="AA7" i="40"/>
  <c r="Z7" i="40"/>
  <c r="AA6" i="40"/>
  <c r="Z6" i="40"/>
  <c r="X11" i="40"/>
  <c r="X10" i="40"/>
  <c r="X9" i="40"/>
  <c r="X8" i="40"/>
  <c r="X7" i="40"/>
  <c r="X6" i="40"/>
  <c r="W11" i="40"/>
  <c r="W10" i="40"/>
  <c r="W9" i="40"/>
  <c r="W8" i="40"/>
  <c r="W7" i="40"/>
  <c r="W6" i="40"/>
  <c r="U11" i="40"/>
  <c r="U10" i="40"/>
  <c r="U9" i="40"/>
  <c r="U8" i="40"/>
  <c r="U7" i="40"/>
  <c r="U6" i="40"/>
  <c r="T11" i="40"/>
  <c r="T10" i="40"/>
  <c r="T9" i="40"/>
  <c r="T8" i="40"/>
  <c r="T7" i="40"/>
  <c r="T6" i="40"/>
  <c r="R11" i="40"/>
  <c r="R10" i="40"/>
  <c r="R9" i="40"/>
  <c r="R8" i="40"/>
  <c r="R7" i="40"/>
  <c r="R6" i="40"/>
  <c r="Q11" i="40"/>
  <c r="Q10" i="40"/>
  <c r="Q9" i="40"/>
  <c r="Q8" i="40"/>
  <c r="Q7" i="40"/>
  <c r="Q6" i="40"/>
  <c r="P11" i="40"/>
  <c r="P10" i="40"/>
  <c r="P9" i="40"/>
  <c r="P8" i="40"/>
  <c r="P7" i="40"/>
  <c r="P6" i="40"/>
  <c r="C29" i="5"/>
  <c r="C30" i="5"/>
  <c r="C31" i="5"/>
  <c r="C32" i="5"/>
  <c r="C33" i="5"/>
  <c r="I45" i="39"/>
  <c r="X42" i="12"/>
  <c r="W41" i="12"/>
  <c r="W43" i="12" s="1"/>
  <c r="V41" i="12"/>
  <c r="V43" i="12" s="1"/>
  <c r="U41" i="12"/>
  <c r="U43" i="12" s="1"/>
  <c r="T41" i="12"/>
  <c r="T43" i="12" s="1"/>
  <c r="S41" i="12"/>
  <c r="S43" i="12" s="1"/>
  <c r="X40" i="12"/>
  <c r="X39" i="12"/>
  <c r="X38" i="12"/>
  <c r="X37" i="12"/>
  <c r="X36" i="12"/>
  <c r="X35" i="12"/>
  <c r="P42" i="12"/>
  <c r="O41" i="12"/>
  <c r="O43" i="12" s="1"/>
  <c r="N41" i="12"/>
  <c r="N43" i="12" s="1"/>
  <c r="K41" i="12"/>
  <c r="K43" i="12" s="1"/>
  <c r="P40" i="12"/>
  <c r="M41" i="12"/>
  <c r="M43" i="12" s="1"/>
  <c r="L41" i="12"/>
  <c r="L43" i="12" s="1"/>
  <c r="P39" i="12"/>
  <c r="P38" i="12"/>
  <c r="P37" i="12"/>
  <c r="P36" i="12"/>
  <c r="P35" i="12"/>
  <c r="G81" i="12"/>
  <c r="F81" i="12"/>
  <c r="E81" i="12"/>
  <c r="D81" i="12"/>
  <c r="C81" i="12"/>
  <c r="H42" i="12"/>
  <c r="H40" i="12"/>
  <c r="M43" i="13"/>
  <c r="M42" i="13"/>
  <c r="G68" i="42"/>
  <c r="F68" i="42"/>
  <c r="E68" i="42"/>
  <c r="D68" i="42"/>
  <c r="C68" i="42"/>
  <c r="H62" i="42"/>
  <c r="H59" i="42"/>
  <c r="H60" i="42"/>
  <c r="H63" i="42"/>
  <c r="H64" i="42"/>
  <c r="G39" i="15"/>
  <c r="F39" i="15"/>
  <c r="E39" i="15"/>
  <c r="D39" i="15"/>
  <c r="C39" i="15"/>
  <c r="Y83" i="29"/>
  <c r="Y82" i="29"/>
  <c r="Y81" i="29"/>
  <c r="Y80" i="19"/>
  <c r="Y79" i="19"/>
  <c r="Y81" i="27"/>
  <c r="Y80" i="27"/>
  <c r="Y82" i="21"/>
  <c r="Y81" i="21"/>
  <c r="Y83" i="24"/>
  <c r="Y82" i="24"/>
  <c r="M101" i="1"/>
  <c r="L101" i="1"/>
  <c r="K101" i="1"/>
  <c r="M100" i="1"/>
  <c r="K100" i="1"/>
  <c r="I100" i="1"/>
  <c r="M99" i="1"/>
  <c r="K99" i="1"/>
  <c r="I99" i="1"/>
  <c r="M98" i="1"/>
  <c r="K98" i="1"/>
  <c r="M97" i="1"/>
  <c r="L97" i="1"/>
  <c r="J97" i="1"/>
  <c r="I97" i="1"/>
  <c r="M95" i="1"/>
  <c r="K95" i="1"/>
  <c r="J95" i="1"/>
  <c r="I95" i="1"/>
  <c r="M93" i="1"/>
  <c r="L93" i="1"/>
  <c r="K93" i="1"/>
  <c r="J93" i="1"/>
  <c r="H95" i="1"/>
  <c r="H93" i="1"/>
  <c r="H98" i="1"/>
  <c r="H97" i="1"/>
  <c r="H104" i="1"/>
  <c r="H103" i="1"/>
  <c r="H102" i="1"/>
  <c r="L16" i="15"/>
  <c r="L15" i="15"/>
  <c r="E93" i="29"/>
  <c r="D93" i="29"/>
  <c r="E92" i="29"/>
  <c r="D92" i="29"/>
  <c r="E91" i="29"/>
  <c r="D91" i="29"/>
  <c r="E90" i="19"/>
  <c r="D90" i="19"/>
  <c r="E89" i="19"/>
  <c r="D89" i="19"/>
  <c r="E88" i="19"/>
  <c r="D88" i="19"/>
  <c r="E87" i="19"/>
  <c r="D87" i="19"/>
  <c r="E91" i="27"/>
  <c r="D91" i="27"/>
  <c r="E90" i="27"/>
  <c r="D90" i="27"/>
  <c r="E89" i="27"/>
  <c r="D89" i="27"/>
  <c r="E92" i="21"/>
  <c r="D92" i="21"/>
  <c r="E91" i="21"/>
  <c r="D91" i="21"/>
  <c r="E90" i="21"/>
  <c r="D90" i="21"/>
  <c r="E93" i="24"/>
  <c r="D93" i="24"/>
  <c r="E92" i="24"/>
  <c r="D92" i="24"/>
  <c r="E91" i="24"/>
  <c r="D91" i="24"/>
  <c r="E82" i="21"/>
  <c r="D82" i="21"/>
  <c r="E81" i="21"/>
  <c r="D81" i="21"/>
  <c r="E80" i="21"/>
  <c r="D80" i="21"/>
  <c r="E79" i="21"/>
  <c r="D79" i="21"/>
  <c r="E83" i="24"/>
  <c r="D83" i="24"/>
  <c r="E82" i="24"/>
  <c r="D82" i="24"/>
  <c r="E81" i="24"/>
  <c r="D81" i="24"/>
  <c r="E80" i="24"/>
  <c r="D80" i="24"/>
  <c r="E81" i="27"/>
  <c r="D81" i="27"/>
  <c r="E80" i="27"/>
  <c r="D80" i="27"/>
  <c r="E79" i="27"/>
  <c r="D79" i="27"/>
  <c r="E78" i="27"/>
  <c r="D78" i="27"/>
  <c r="E80" i="19"/>
  <c r="D80" i="19"/>
  <c r="E79" i="19"/>
  <c r="D79" i="19"/>
  <c r="E78" i="19"/>
  <c r="D78" i="19"/>
  <c r="E77" i="19"/>
  <c r="D77" i="19"/>
  <c r="E76" i="19"/>
  <c r="D76" i="19"/>
  <c r="E82" i="29"/>
  <c r="D82" i="29"/>
  <c r="E81" i="29"/>
  <c r="D81" i="29"/>
  <c r="E80" i="29"/>
  <c r="D80" i="29"/>
  <c r="E79" i="29"/>
  <c r="D79" i="29"/>
  <c r="D30" i="29"/>
  <c r="E30" i="29"/>
  <c r="D31" i="19"/>
  <c r="E31" i="19"/>
  <c r="D30" i="27"/>
  <c r="E30" i="27"/>
  <c r="D19" i="24"/>
  <c r="E19" i="24"/>
  <c r="D31" i="24"/>
  <c r="E31" i="24"/>
  <c r="D32" i="21"/>
  <c r="E32" i="21"/>
  <c r="G26" i="15"/>
  <c r="F26" i="15"/>
  <c r="E26" i="15"/>
  <c r="D26" i="15"/>
  <c r="C26" i="15"/>
  <c r="G39" i="39"/>
  <c r="G40" i="39"/>
  <c r="G41" i="39"/>
  <c r="G42" i="39"/>
  <c r="G43" i="39"/>
  <c r="K24" i="39"/>
  <c r="J24" i="39"/>
  <c r="I24" i="39"/>
  <c r="G18" i="19"/>
  <c r="K18" i="19" s="1"/>
  <c r="G19" i="19"/>
  <c r="K19" i="19" s="1"/>
  <c r="G21" i="27"/>
  <c r="K21" i="27" s="1"/>
  <c r="Y30" i="29"/>
  <c r="Y31" i="19"/>
  <c r="Y30" i="27"/>
  <c r="Y31" i="24"/>
  <c r="G44" i="39"/>
  <c r="Q38" i="17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B33" i="43"/>
  <c r="B32" i="43"/>
  <c r="B31" i="43"/>
  <c r="B30" i="43"/>
  <c r="B29" i="43"/>
  <c r="B28" i="43"/>
  <c r="H56" i="1"/>
  <c r="H55" i="1"/>
  <c r="H54" i="1"/>
  <c r="H53" i="1"/>
  <c r="H52" i="1"/>
  <c r="H51" i="1"/>
  <c r="B56" i="1"/>
  <c r="B55" i="1"/>
  <c r="B54" i="1"/>
  <c r="B53" i="1"/>
  <c r="B52" i="1"/>
  <c r="B51" i="1"/>
  <c r="B42" i="2"/>
  <c r="B41" i="2"/>
  <c r="B40" i="2"/>
  <c r="B39" i="2"/>
  <c r="B38" i="2"/>
  <c r="G38" i="2" s="1"/>
  <c r="B37" i="2"/>
  <c r="H24" i="39"/>
  <c r="G23" i="39"/>
  <c r="G22" i="39"/>
  <c r="G21" i="39"/>
  <c r="G20" i="39"/>
  <c r="G19" i="39"/>
  <c r="G18" i="39"/>
  <c r="AG93" i="29"/>
  <c r="AH93" i="29" s="1"/>
  <c r="AG92" i="29"/>
  <c r="AH92" i="29" s="1"/>
  <c r="AG91" i="29"/>
  <c r="AH91" i="29" s="1"/>
  <c r="AG90" i="29"/>
  <c r="AH90" i="29" s="1"/>
  <c r="AG88" i="29"/>
  <c r="AH88" i="29" s="1"/>
  <c r="AG87" i="29"/>
  <c r="AH87" i="29" s="1"/>
  <c r="AG86" i="29"/>
  <c r="AH86" i="29" s="1"/>
  <c r="AG85" i="29"/>
  <c r="AH85" i="29" s="1"/>
  <c r="AG78" i="29"/>
  <c r="AH78" i="29" s="1"/>
  <c r="Y72" i="29"/>
  <c r="AG71" i="29"/>
  <c r="AH71" i="29" s="1"/>
  <c r="AG70" i="29"/>
  <c r="AH70" i="29" s="1"/>
  <c r="AG69" i="29"/>
  <c r="AH69" i="29" s="1"/>
  <c r="AG68" i="29"/>
  <c r="AH68" i="29" s="1"/>
  <c r="AG67" i="29"/>
  <c r="AH67" i="29" s="1"/>
  <c r="AG66" i="29"/>
  <c r="AH66" i="29" s="1"/>
  <c r="Y59" i="29"/>
  <c r="Y57" i="29"/>
  <c r="Y56" i="29"/>
  <c r="Y55" i="29"/>
  <c r="Y54" i="29"/>
  <c r="Y52" i="29"/>
  <c r="Y51" i="29"/>
  <c r="Y50" i="29"/>
  <c r="Y49" i="29"/>
  <c r="Y48" i="29"/>
  <c r="Y47" i="29"/>
  <c r="Y46" i="29"/>
  <c r="Y40" i="29"/>
  <c r="Y38" i="29"/>
  <c r="Y37" i="29"/>
  <c r="Y36" i="29"/>
  <c r="Y35" i="29"/>
  <c r="Y34" i="29"/>
  <c r="Y33" i="29"/>
  <c r="Y32" i="29"/>
  <c r="Y31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AG90" i="19"/>
  <c r="AH90" i="19" s="1"/>
  <c r="AG89" i="19"/>
  <c r="AH89" i="19" s="1"/>
  <c r="AG88" i="19"/>
  <c r="AH88" i="19" s="1"/>
  <c r="AG87" i="19"/>
  <c r="AH87" i="19" s="1"/>
  <c r="AG85" i="19"/>
  <c r="AH85" i="19" s="1"/>
  <c r="AG84" i="19"/>
  <c r="AH84" i="19" s="1"/>
  <c r="AG83" i="19"/>
  <c r="AH83" i="19" s="1"/>
  <c r="AG82" i="19"/>
  <c r="AH82" i="19" s="1"/>
  <c r="AG76" i="19"/>
  <c r="AH76" i="19" s="1"/>
  <c r="Y70" i="19"/>
  <c r="AG69" i="19"/>
  <c r="AH69" i="19" s="1"/>
  <c r="AG68" i="19"/>
  <c r="AH68" i="19" s="1"/>
  <c r="AG67" i="19"/>
  <c r="AH67" i="19" s="1"/>
  <c r="AG66" i="19"/>
  <c r="AH66" i="19" s="1"/>
  <c r="AG65" i="19"/>
  <c r="AH65" i="19" s="1"/>
  <c r="AG64" i="19"/>
  <c r="AH64" i="19" s="1"/>
  <c r="Y57" i="19"/>
  <c r="Y56" i="19"/>
  <c r="Y55" i="19"/>
  <c r="Y54" i="19"/>
  <c r="Y53" i="19"/>
  <c r="Y51" i="19"/>
  <c r="Y50" i="19"/>
  <c r="Y49" i="19"/>
  <c r="Y48" i="19"/>
  <c r="Y47" i="19"/>
  <c r="Y46" i="19"/>
  <c r="Y45" i="19"/>
  <c r="Y40" i="19"/>
  <c r="Y38" i="19"/>
  <c r="Y37" i="19"/>
  <c r="Y36" i="19"/>
  <c r="Y35" i="19"/>
  <c r="Y34" i="19"/>
  <c r="Y33" i="19"/>
  <c r="Y32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3" i="19"/>
  <c r="Y12" i="19"/>
  <c r="Y11" i="19"/>
  <c r="Y10" i="19"/>
  <c r="AG91" i="27"/>
  <c r="AH91" i="27" s="1"/>
  <c r="AG90" i="27"/>
  <c r="AH90" i="27" s="1"/>
  <c r="AG89" i="27"/>
  <c r="AH89" i="27" s="1"/>
  <c r="AG88" i="27"/>
  <c r="AH88" i="27" s="1"/>
  <c r="AG86" i="27"/>
  <c r="AH86" i="27" s="1"/>
  <c r="AG85" i="27"/>
  <c r="AH85" i="27" s="1"/>
  <c r="AG84" i="27"/>
  <c r="AH84" i="27" s="1"/>
  <c r="AG83" i="27"/>
  <c r="AH83" i="27" s="1"/>
  <c r="AG77" i="27"/>
  <c r="AH77" i="27" s="1"/>
  <c r="AG70" i="27"/>
  <c r="AH70" i="27" s="1"/>
  <c r="AG69" i="27"/>
  <c r="AH69" i="27" s="1"/>
  <c r="AG68" i="27"/>
  <c r="AH68" i="27" s="1"/>
  <c r="AG67" i="27"/>
  <c r="AH67" i="27" s="1"/>
  <c r="AG66" i="27"/>
  <c r="AH66" i="27" s="1"/>
  <c r="AG65" i="27"/>
  <c r="AH65" i="27" s="1"/>
  <c r="Y71" i="27"/>
  <c r="Y54" i="27"/>
  <c r="Y45" i="27"/>
  <c r="Y58" i="27"/>
  <c r="Y57" i="27"/>
  <c r="Y56" i="27"/>
  <c r="Y55" i="27"/>
  <c r="Y52" i="27"/>
  <c r="Y51" i="27"/>
  <c r="Y50" i="27"/>
  <c r="Y48" i="27"/>
  <c r="Y47" i="27"/>
  <c r="Y46" i="27"/>
  <c r="Y40" i="27"/>
  <c r="Y38" i="27"/>
  <c r="Y37" i="27"/>
  <c r="Y36" i="27"/>
  <c r="Y35" i="27"/>
  <c r="Y34" i="27"/>
  <c r="Y33" i="27"/>
  <c r="Y32" i="27"/>
  <c r="Y31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3" i="27"/>
  <c r="Y12" i="27"/>
  <c r="Y11" i="27"/>
  <c r="Y10" i="27"/>
  <c r="AG93" i="24"/>
  <c r="AH93" i="24" s="1"/>
  <c r="AG92" i="24"/>
  <c r="AH92" i="24" s="1"/>
  <c r="AG91" i="24"/>
  <c r="AH91" i="24" s="1"/>
  <c r="AG90" i="24"/>
  <c r="AH90" i="24" s="1"/>
  <c r="AG88" i="24"/>
  <c r="AH88" i="24" s="1"/>
  <c r="AG87" i="24"/>
  <c r="AH87" i="24" s="1"/>
  <c r="AG86" i="24"/>
  <c r="AH86" i="24" s="1"/>
  <c r="AG85" i="24"/>
  <c r="AH85" i="24" s="1"/>
  <c r="AG79" i="24"/>
  <c r="AH79" i="24" s="1"/>
  <c r="AG72" i="24"/>
  <c r="AH72" i="24" s="1"/>
  <c r="AG71" i="24"/>
  <c r="AH71" i="24" s="1"/>
  <c r="AG70" i="24"/>
  <c r="AH70" i="24" s="1"/>
  <c r="AG69" i="24"/>
  <c r="AH69" i="24" s="1"/>
  <c r="AG68" i="24"/>
  <c r="AH68" i="24" s="1"/>
  <c r="AG67" i="24"/>
  <c r="AH67" i="24" s="1"/>
  <c r="Y60" i="24"/>
  <c r="Y73" i="24"/>
  <c r="Y58" i="24"/>
  <c r="Y57" i="24"/>
  <c r="Y56" i="24"/>
  <c r="Y55" i="24"/>
  <c r="Y53" i="24"/>
  <c r="Y52" i="24"/>
  <c r="Y51" i="24"/>
  <c r="Y50" i="24"/>
  <c r="Y49" i="24"/>
  <c r="Y48" i="24"/>
  <c r="Y47" i="24"/>
  <c r="Y44" i="24"/>
  <c r="Y41" i="24"/>
  <c r="Y39" i="24"/>
  <c r="Y38" i="24"/>
  <c r="Y37" i="24"/>
  <c r="Y36" i="24"/>
  <c r="Y35" i="24"/>
  <c r="Y34" i="24"/>
  <c r="Y33" i="24"/>
  <c r="Y32" i="24"/>
  <c r="Y30" i="24"/>
  <c r="Y29" i="24"/>
  <c r="Y28" i="24"/>
  <c r="Y27" i="24"/>
  <c r="Y26" i="24"/>
  <c r="Y25" i="24"/>
  <c r="Y24" i="24"/>
  <c r="Y23" i="24"/>
  <c r="Y22" i="24"/>
  <c r="Y21" i="24"/>
  <c r="Y20" i="24"/>
  <c r="Y18" i="24"/>
  <c r="Y17" i="24"/>
  <c r="Y13" i="24"/>
  <c r="Y12" i="24"/>
  <c r="Y11" i="24"/>
  <c r="Y10" i="24"/>
  <c r="Y88" i="21"/>
  <c r="Y72" i="21"/>
  <c r="AG92" i="21"/>
  <c r="AH92" i="21" s="1"/>
  <c r="AG91" i="21"/>
  <c r="AH91" i="21" s="1"/>
  <c r="AG90" i="21"/>
  <c r="AH90" i="21" s="1"/>
  <c r="AG89" i="21"/>
  <c r="AH89" i="21" s="1"/>
  <c r="AG87" i="21"/>
  <c r="AH87" i="21" s="1"/>
  <c r="AG86" i="21"/>
  <c r="AH86" i="21" s="1"/>
  <c r="AG85" i="21"/>
  <c r="AH85" i="21" s="1"/>
  <c r="AG84" i="21"/>
  <c r="AH84" i="21" s="1"/>
  <c r="AG78" i="21"/>
  <c r="AH78" i="21" s="1"/>
  <c r="AG71" i="21"/>
  <c r="AH71" i="21" s="1"/>
  <c r="AG70" i="21"/>
  <c r="AH70" i="21" s="1"/>
  <c r="AG69" i="21"/>
  <c r="AH69" i="21" s="1"/>
  <c r="AG68" i="21"/>
  <c r="AH68" i="21" s="1"/>
  <c r="AG67" i="21"/>
  <c r="AH67" i="21" s="1"/>
  <c r="AG66" i="21"/>
  <c r="AH66" i="21" s="1"/>
  <c r="Y59" i="21"/>
  <c r="Y58" i="21"/>
  <c r="Y57" i="21"/>
  <c r="Y56" i="21"/>
  <c r="Y55" i="21"/>
  <c r="Y53" i="21"/>
  <c r="Y52" i="21"/>
  <c r="Y51" i="21"/>
  <c r="Y50" i="21"/>
  <c r="Y49" i="21"/>
  <c r="Y48" i="21"/>
  <c r="Y47" i="21"/>
  <c r="Y42" i="21"/>
  <c r="Y40" i="21"/>
  <c r="Y39" i="21"/>
  <c r="Y38" i="21"/>
  <c r="Y37" i="21"/>
  <c r="Y36" i="21"/>
  <c r="Y35" i="21"/>
  <c r="Y34" i="21"/>
  <c r="Y33" i="21"/>
  <c r="Y31" i="21"/>
  <c r="Y30" i="21"/>
  <c r="Y29" i="21"/>
  <c r="Y28" i="21"/>
  <c r="Y27" i="21"/>
  <c r="Y25" i="21"/>
  <c r="Y24" i="21"/>
  <c r="Y23" i="21"/>
  <c r="Y22" i="21"/>
  <c r="Y21" i="21"/>
  <c r="Y20" i="21"/>
  <c r="Y19" i="21"/>
  <c r="Y18" i="21"/>
  <c r="Y13" i="21"/>
  <c r="Y12" i="21"/>
  <c r="Y11" i="21"/>
  <c r="Y10" i="21"/>
  <c r="B9" i="43"/>
  <c r="B8" i="43"/>
  <c r="B7" i="43"/>
  <c r="B6" i="43"/>
  <c r="B5" i="43"/>
  <c r="B4" i="43"/>
  <c r="B40" i="1"/>
  <c r="B39" i="1"/>
  <c r="B38" i="1"/>
  <c r="B37" i="1"/>
  <c r="B36" i="1"/>
  <c r="B35" i="1"/>
  <c r="B34" i="1"/>
  <c r="B33" i="1"/>
  <c r="B32" i="1"/>
  <c r="B31" i="1"/>
  <c r="B30" i="1"/>
  <c r="B29" i="1"/>
  <c r="E92" i="1"/>
  <c r="D92" i="1"/>
  <c r="C92" i="1"/>
  <c r="E91" i="1"/>
  <c r="D91" i="1"/>
  <c r="C91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88" i="1"/>
  <c r="D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C88" i="1"/>
  <c r="B17" i="43"/>
  <c r="B16" i="43"/>
  <c r="B15" i="43"/>
  <c r="B14" i="43"/>
  <c r="B13" i="43"/>
  <c r="B12" i="43"/>
  <c r="B65" i="43"/>
  <c r="B64" i="43"/>
  <c r="B63" i="43"/>
  <c r="B62" i="43"/>
  <c r="B61" i="43"/>
  <c r="B60" i="43"/>
  <c r="B57" i="43"/>
  <c r="B56" i="43"/>
  <c r="B55" i="43"/>
  <c r="B54" i="43"/>
  <c r="B53" i="43"/>
  <c r="B52" i="43"/>
  <c r="B49" i="43"/>
  <c r="B48" i="43"/>
  <c r="B47" i="43"/>
  <c r="B46" i="43"/>
  <c r="B45" i="43"/>
  <c r="B44" i="43"/>
  <c r="B41" i="43"/>
  <c r="B40" i="43"/>
  <c r="B39" i="43"/>
  <c r="B38" i="43"/>
  <c r="B37" i="43"/>
  <c r="B36" i="43"/>
  <c r="B25" i="43"/>
  <c r="B24" i="43"/>
  <c r="B23" i="43"/>
  <c r="B22" i="43"/>
  <c r="B21" i="43"/>
  <c r="B20" i="43"/>
  <c r="G40" i="42"/>
  <c r="G52" i="42" s="1"/>
  <c r="F40" i="42"/>
  <c r="F52" i="42" s="1"/>
  <c r="E40" i="42"/>
  <c r="E52" i="42" s="1"/>
  <c r="D40" i="42"/>
  <c r="D52" i="42" s="1"/>
  <c r="C40" i="42"/>
  <c r="G39" i="42"/>
  <c r="G51" i="42" s="1"/>
  <c r="F39" i="42"/>
  <c r="F51" i="42" s="1"/>
  <c r="E39" i="42"/>
  <c r="E51" i="42" s="1"/>
  <c r="D39" i="42"/>
  <c r="D51" i="42" s="1"/>
  <c r="C39" i="42"/>
  <c r="C51" i="42" s="1"/>
  <c r="G38" i="42"/>
  <c r="G50" i="42" s="1"/>
  <c r="F38" i="42"/>
  <c r="F50" i="42" s="1"/>
  <c r="E38" i="42"/>
  <c r="E50" i="42" s="1"/>
  <c r="D38" i="42"/>
  <c r="D50" i="42" s="1"/>
  <c r="C38" i="42"/>
  <c r="G37" i="42"/>
  <c r="F37" i="42"/>
  <c r="E37" i="42"/>
  <c r="D37" i="42"/>
  <c r="C37" i="42"/>
  <c r="G36" i="42"/>
  <c r="G48" i="42" s="1"/>
  <c r="F36" i="42"/>
  <c r="F48" i="42" s="1"/>
  <c r="E36" i="42"/>
  <c r="E48" i="42" s="1"/>
  <c r="D36" i="42"/>
  <c r="D48" i="42" s="1"/>
  <c r="C36" i="42"/>
  <c r="G35" i="42"/>
  <c r="G47" i="42" s="1"/>
  <c r="F35" i="42"/>
  <c r="F47" i="42" s="1"/>
  <c r="E35" i="42"/>
  <c r="E47" i="42" s="1"/>
  <c r="D35" i="42"/>
  <c r="D47" i="42" s="1"/>
  <c r="C35" i="42"/>
  <c r="C47" i="42" s="1"/>
  <c r="G34" i="42"/>
  <c r="F34" i="42"/>
  <c r="E34" i="42"/>
  <c r="D34" i="42"/>
  <c r="C34" i="42"/>
  <c r="G33" i="42"/>
  <c r="F33" i="42"/>
  <c r="E33" i="42"/>
  <c r="D33" i="42"/>
  <c r="C33" i="42"/>
  <c r="C28" i="5"/>
  <c r="O7" i="42"/>
  <c r="N7" i="42"/>
  <c r="M7" i="42"/>
  <c r="L7" i="42"/>
  <c r="K7" i="42"/>
  <c r="P6" i="42"/>
  <c r="P5" i="42"/>
  <c r="G27" i="42"/>
  <c r="F27" i="42"/>
  <c r="E27" i="42"/>
  <c r="D27" i="42"/>
  <c r="C27" i="42"/>
  <c r="H26" i="42"/>
  <c r="H25" i="42"/>
  <c r="H24" i="42"/>
  <c r="H23" i="42"/>
  <c r="H22" i="42"/>
  <c r="H21" i="42"/>
  <c r="H20" i="42"/>
  <c r="H19" i="42"/>
  <c r="H11" i="42"/>
  <c r="H10" i="42"/>
  <c r="H9" i="42"/>
  <c r="H8" i="42"/>
  <c r="H7" i="42"/>
  <c r="H6" i="42"/>
  <c r="H5" i="42"/>
  <c r="H4" i="42"/>
  <c r="F45" i="39"/>
  <c r="E45" i="39"/>
  <c r="D45" i="39"/>
  <c r="G12" i="42"/>
  <c r="G13" i="42" s="1"/>
  <c r="F12" i="42"/>
  <c r="F13" i="42" s="1"/>
  <c r="E12" i="42"/>
  <c r="E13" i="42" s="1"/>
  <c r="D12" i="42"/>
  <c r="D13" i="42" s="1"/>
  <c r="C12" i="42"/>
  <c r="C13" i="42"/>
  <c r="L45" i="41"/>
  <c r="R100" i="2" s="1"/>
  <c r="J101" i="1" s="1"/>
  <c r="L17" i="41"/>
  <c r="L16" i="41"/>
  <c r="L15" i="41"/>
  <c r="L21" i="41"/>
  <c r="L20" i="4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11" i="7"/>
  <c r="B10" i="7"/>
  <c r="B9" i="7"/>
  <c r="B8" i="7"/>
  <c r="B7" i="7"/>
  <c r="B6" i="7"/>
  <c r="B112" i="1"/>
  <c r="B111" i="1"/>
  <c r="B110" i="1"/>
  <c r="B109" i="1"/>
  <c r="B108" i="1"/>
  <c r="B107" i="1"/>
  <c r="B88" i="1"/>
  <c r="B87" i="1"/>
  <c r="B86" i="1"/>
  <c r="B85" i="1"/>
  <c r="B84" i="1"/>
  <c r="B83" i="1"/>
  <c r="B80" i="1"/>
  <c r="B79" i="1"/>
  <c r="B78" i="1"/>
  <c r="B77" i="1"/>
  <c r="B76" i="1"/>
  <c r="B75" i="1"/>
  <c r="B72" i="1"/>
  <c r="B71" i="1"/>
  <c r="B70" i="1"/>
  <c r="B69" i="1"/>
  <c r="B68" i="1"/>
  <c r="B67" i="1"/>
  <c r="B64" i="1"/>
  <c r="B63" i="1"/>
  <c r="B62" i="1"/>
  <c r="B61" i="1"/>
  <c r="B60" i="1"/>
  <c r="B59" i="1"/>
  <c r="B48" i="1"/>
  <c r="B47" i="1"/>
  <c r="B46" i="1"/>
  <c r="B45" i="1"/>
  <c r="B44" i="1"/>
  <c r="B43" i="1"/>
  <c r="B47" i="40"/>
  <c r="B46" i="40"/>
  <c r="B45" i="40"/>
  <c r="B44" i="40"/>
  <c r="B43" i="40"/>
  <c r="B42" i="40"/>
  <c r="B38" i="40"/>
  <c r="B37" i="40"/>
  <c r="B36" i="40"/>
  <c r="B35" i="40"/>
  <c r="B34" i="40"/>
  <c r="B33" i="40"/>
  <c r="B20" i="40"/>
  <c r="B19" i="40"/>
  <c r="B18" i="40"/>
  <c r="B17" i="40"/>
  <c r="B16" i="40"/>
  <c r="B15" i="40"/>
  <c r="B11" i="40"/>
  <c r="B10" i="40"/>
  <c r="B9" i="40"/>
  <c r="B8" i="40"/>
  <c r="B7" i="40"/>
  <c r="B6" i="40"/>
  <c r="B114" i="2"/>
  <c r="B113" i="2"/>
  <c r="B112" i="2"/>
  <c r="B111" i="2"/>
  <c r="B85" i="2"/>
  <c r="B84" i="2"/>
  <c r="B83" i="2"/>
  <c r="B82" i="2"/>
  <c r="B81" i="2"/>
  <c r="B80" i="2"/>
  <c r="B74" i="2"/>
  <c r="B73" i="2"/>
  <c r="B72" i="2"/>
  <c r="B71" i="2"/>
  <c r="B70" i="2"/>
  <c r="B69" i="2"/>
  <c r="B63" i="2"/>
  <c r="B62" i="2"/>
  <c r="B61" i="2"/>
  <c r="B60" i="2"/>
  <c r="B59" i="2"/>
  <c r="B58" i="2"/>
  <c r="B52" i="2"/>
  <c r="B51" i="2"/>
  <c r="B50" i="2"/>
  <c r="B49" i="2"/>
  <c r="B48" i="2"/>
  <c r="B47" i="2"/>
  <c r="B32" i="2"/>
  <c r="B31" i="2"/>
  <c r="B30" i="2"/>
  <c r="B29" i="2"/>
  <c r="B28" i="2"/>
  <c r="B27" i="2"/>
  <c r="B21" i="2"/>
  <c r="B20" i="2"/>
  <c r="B19" i="2"/>
  <c r="B18" i="2"/>
  <c r="B17" i="2"/>
  <c r="B16" i="2"/>
  <c r="B10" i="2"/>
  <c r="B9" i="2"/>
  <c r="B8" i="2"/>
  <c r="B7" i="2"/>
  <c r="B6" i="2"/>
  <c r="B5" i="2"/>
  <c r="B2" i="29"/>
  <c r="B3" i="29"/>
  <c r="B2" i="19"/>
  <c r="B3" i="19"/>
  <c r="B2" i="27"/>
  <c r="B3" i="27"/>
  <c r="B2" i="24"/>
  <c r="B3" i="24"/>
  <c r="B2" i="21"/>
  <c r="B3" i="21"/>
  <c r="B44" i="39"/>
  <c r="B43" i="39"/>
  <c r="B42" i="39"/>
  <c r="B41" i="39"/>
  <c r="B40" i="39"/>
  <c r="B39" i="39"/>
  <c r="B34" i="39"/>
  <c r="B33" i="39"/>
  <c r="B32" i="39"/>
  <c r="B31" i="39"/>
  <c r="B30" i="39"/>
  <c r="B29" i="39"/>
  <c r="B23" i="39"/>
  <c r="B22" i="39"/>
  <c r="B21" i="39"/>
  <c r="B20" i="39"/>
  <c r="B19" i="39"/>
  <c r="B18" i="39"/>
  <c r="B12" i="39"/>
  <c r="B11" i="39"/>
  <c r="B10" i="39"/>
  <c r="B9" i="39"/>
  <c r="B8" i="39"/>
  <c r="B7" i="39"/>
  <c r="B26" i="11"/>
  <c r="B25" i="11"/>
  <c r="B24" i="11"/>
  <c r="B23" i="11"/>
  <c r="B22" i="11"/>
  <c r="L47" i="40"/>
  <c r="M47" i="40" s="1"/>
  <c r="L46" i="40"/>
  <c r="M46" i="40" s="1"/>
  <c r="L45" i="40"/>
  <c r="M45" i="40" s="1"/>
  <c r="L44" i="40"/>
  <c r="M44" i="40" s="1"/>
  <c r="L43" i="40"/>
  <c r="M43" i="40" s="1"/>
  <c r="L42" i="40"/>
  <c r="M42" i="40" s="1"/>
  <c r="L38" i="40"/>
  <c r="M38" i="40" s="1"/>
  <c r="L37" i="40"/>
  <c r="M37" i="40" s="1"/>
  <c r="L36" i="40"/>
  <c r="M36" i="40" s="1"/>
  <c r="L35" i="40"/>
  <c r="M35" i="40" s="1"/>
  <c r="L34" i="40"/>
  <c r="M34" i="40" s="1"/>
  <c r="L33" i="40"/>
  <c r="M33" i="40" s="1"/>
  <c r="L20" i="40"/>
  <c r="M20" i="40" s="1"/>
  <c r="L19" i="40"/>
  <c r="M19" i="40" s="1"/>
  <c r="L18" i="40"/>
  <c r="M18" i="40" s="1"/>
  <c r="L17" i="40"/>
  <c r="M17" i="40" s="1"/>
  <c r="L16" i="40"/>
  <c r="M16" i="40" s="1"/>
  <c r="L15" i="40"/>
  <c r="M15" i="40" s="1"/>
  <c r="L7" i="40"/>
  <c r="M7" i="40" s="1"/>
  <c r="L8" i="40"/>
  <c r="M8" i="40" s="1"/>
  <c r="L9" i="40"/>
  <c r="M9" i="40" s="1"/>
  <c r="L10" i="40"/>
  <c r="M10" i="40" s="1"/>
  <c r="L11" i="40"/>
  <c r="M11" i="40" s="1"/>
  <c r="L6" i="40"/>
  <c r="M6" i="40" s="1"/>
  <c r="F59" i="29"/>
  <c r="F57" i="29"/>
  <c r="K59" i="29"/>
  <c r="H21" i="1"/>
  <c r="H11" i="1"/>
  <c r="F60" i="24"/>
  <c r="H92" i="1"/>
  <c r="C24" i="39"/>
  <c r="E50" i="21"/>
  <c r="D50" i="21"/>
  <c r="E49" i="21"/>
  <c r="D49" i="21"/>
  <c r="E48" i="21"/>
  <c r="D48" i="21"/>
  <c r="E47" i="21"/>
  <c r="D47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1" i="21"/>
  <c r="D31" i="21"/>
  <c r="E30" i="21"/>
  <c r="D30" i="21"/>
  <c r="E29" i="21"/>
  <c r="D29" i="21"/>
  <c r="E28" i="21"/>
  <c r="D28" i="21"/>
  <c r="E27" i="21"/>
  <c r="D27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8" i="21"/>
  <c r="E19" i="21" s="1"/>
  <c r="D18" i="21"/>
  <c r="E17" i="21"/>
  <c r="D17" i="21"/>
  <c r="E49" i="24"/>
  <c r="D49" i="24"/>
  <c r="E48" i="24"/>
  <c r="D48" i="24"/>
  <c r="E47" i="24"/>
  <c r="D47" i="24"/>
  <c r="E46" i="24"/>
  <c r="D46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0" i="24"/>
  <c r="D30" i="24"/>
  <c r="E29" i="24"/>
  <c r="D29" i="24"/>
  <c r="E28" i="24"/>
  <c r="D28" i="24"/>
  <c r="E25" i="24"/>
  <c r="D25" i="24"/>
  <c r="E24" i="24"/>
  <c r="D24" i="24"/>
  <c r="E23" i="24"/>
  <c r="D23" i="24"/>
  <c r="E22" i="24"/>
  <c r="D22" i="24"/>
  <c r="E21" i="24"/>
  <c r="D21" i="24"/>
  <c r="E20" i="24"/>
  <c r="D20" i="24"/>
  <c r="E18" i="24"/>
  <c r="D18" i="24"/>
  <c r="E48" i="27"/>
  <c r="D48" i="27"/>
  <c r="E47" i="27"/>
  <c r="D47" i="27"/>
  <c r="E46" i="27"/>
  <c r="D46" i="27"/>
  <c r="E45" i="27"/>
  <c r="D45" i="27"/>
  <c r="E37" i="27"/>
  <c r="D37" i="27"/>
  <c r="E36" i="27"/>
  <c r="D36" i="27"/>
  <c r="E35" i="27"/>
  <c r="D35" i="27"/>
  <c r="E34" i="27"/>
  <c r="D34" i="27"/>
  <c r="E33" i="27"/>
  <c r="D33" i="27"/>
  <c r="E32" i="27"/>
  <c r="D32" i="27"/>
  <c r="E31" i="27"/>
  <c r="D31" i="27"/>
  <c r="E29" i="27"/>
  <c r="D29" i="27"/>
  <c r="E28" i="27"/>
  <c r="D28" i="27"/>
  <c r="E27" i="27"/>
  <c r="D27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48" i="19"/>
  <c r="D48" i="19"/>
  <c r="E47" i="19"/>
  <c r="D47" i="19"/>
  <c r="E46" i="19"/>
  <c r="D46" i="19"/>
  <c r="E45" i="19"/>
  <c r="D45" i="19"/>
  <c r="E36" i="19"/>
  <c r="D36" i="19"/>
  <c r="E35" i="19"/>
  <c r="D35" i="19"/>
  <c r="E34" i="19"/>
  <c r="D34" i="19"/>
  <c r="E33" i="19"/>
  <c r="D33" i="19"/>
  <c r="E32" i="19"/>
  <c r="D32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48" i="29"/>
  <c r="D48" i="29"/>
  <c r="E47" i="29"/>
  <c r="D47" i="29"/>
  <c r="E46" i="29"/>
  <c r="D46" i="29"/>
  <c r="E45" i="29"/>
  <c r="D45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29" i="29"/>
  <c r="D29" i="29"/>
  <c r="E28" i="29"/>
  <c r="D28" i="29"/>
  <c r="E27" i="29"/>
  <c r="D27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O13" i="39"/>
  <c r="M12" i="39"/>
  <c r="M11" i="39"/>
  <c r="M10" i="39"/>
  <c r="M9" i="39"/>
  <c r="M8" i="39"/>
  <c r="M7" i="39"/>
  <c r="J12" i="39"/>
  <c r="J11" i="39"/>
  <c r="J10" i="39"/>
  <c r="J9" i="39"/>
  <c r="J8" i="39"/>
  <c r="J7" i="39"/>
  <c r="E12" i="39"/>
  <c r="S12" i="39" s="1"/>
  <c r="E11" i="39"/>
  <c r="S11" i="39" s="1"/>
  <c r="E10" i="39"/>
  <c r="S10" i="39" s="1"/>
  <c r="E9" i="39"/>
  <c r="S9" i="39" s="1"/>
  <c r="E8" i="39"/>
  <c r="S8" i="39" s="1"/>
  <c r="E7" i="39"/>
  <c r="S7" i="39" s="1"/>
  <c r="S13" i="39" s="1"/>
  <c r="I13" i="39"/>
  <c r="L13" i="39"/>
  <c r="K13" i="39"/>
  <c r="H13" i="39"/>
  <c r="G13" i="39"/>
  <c r="F13" i="39"/>
  <c r="D13" i="39"/>
  <c r="C13" i="39"/>
  <c r="C45" i="39"/>
  <c r="F35" i="39"/>
  <c r="E35" i="39"/>
  <c r="C35" i="39"/>
  <c r="D35" i="39"/>
  <c r="F118" i="29"/>
  <c r="F117" i="29"/>
  <c r="F116" i="29"/>
  <c r="F115" i="29"/>
  <c r="F114" i="29"/>
  <c r="F115" i="19"/>
  <c r="F114" i="19"/>
  <c r="F113" i="19"/>
  <c r="F112" i="19"/>
  <c r="F111" i="19"/>
  <c r="F116" i="27"/>
  <c r="F115" i="27"/>
  <c r="F114" i="27"/>
  <c r="F113" i="27"/>
  <c r="F112" i="27"/>
  <c r="F118" i="24"/>
  <c r="F117" i="24"/>
  <c r="F116" i="24"/>
  <c r="F115" i="24"/>
  <c r="F114" i="24"/>
  <c r="F117" i="21"/>
  <c r="F116" i="21"/>
  <c r="F115" i="21"/>
  <c r="F114" i="21"/>
  <c r="F113" i="21"/>
  <c r="F120" i="21"/>
  <c r="F121" i="21"/>
  <c r="H26" i="1"/>
  <c r="H23" i="1"/>
  <c r="H16" i="1"/>
  <c r="H13" i="1"/>
  <c r="H9" i="1"/>
  <c r="F122" i="29"/>
  <c r="F121" i="29"/>
  <c r="O113" i="29"/>
  <c r="K113" i="29"/>
  <c r="F112" i="29"/>
  <c r="F111" i="29"/>
  <c r="F110" i="29"/>
  <c r="F109" i="29"/>
  <c r="F108" i="29"/>
  <c r="F106" i="29"/>
  <c r="F105" i="29"/>
  <c r="F104" i="29"/>
  <c r="F103" i="29"/>
  <c r="F102" i="29"/>
  <c r="F56" i="29"/>
  <c r="F55" i="29"/>
  <c r="F53" i="29"/>
  <c r="F51" i="29"/>
  <c r="F50" i="29"/>
  <c r="F49" i="29"/>
  <c r="F40" i="29"/>
  <c r="F119" i="19"/>
  <c r="F118" i="19"/>
  <c r="O110" i="19"/>
  <c r="K110" i="19"/>
  <c r="F109" i="19"/>
  <c r="F108" i="19"/>
  <c r="F107" i="19"/>
  <c r="F106" i="19"/>
  <c r="F105" i="19"/>
  <c r="F103" i="19"/>
  <c r="F102" i="19"/>
  <c r="F101" i="19"/>
  <c r="F100" i="19"/>
  <c r="F99" i="19"/>
  <c r="F57" i="19"/>
  <c r="F56" i="19"/>
  <c r="F55" i="19"/>
  <c r="F53" i="19"/>
  <c r="F51" i="19"/>
  <c r="F50" i="19"/>
  <c r="F120" i="27"/>
  <c r="F119" i="27"/>
  <c r="O111" i="27"/>
  <c r="K111" i="27"/>
  <c r="F110" i="27"/>
  <c r="F109" i="27"/>
  <c r="F108" i="27"/>
  <c r="F107" i="27"/>
  <c r="F106" i="27"/>
  <c r="F104" i="27"/>
  <c r="F103" i="27"/>
  <c r="F102" i="27"/>
  <c r="F101" i="27"/>
  <c r="F100" i="27"/>
  <c r="F58" i="27"/>
  <c r="F57" i="27"/>
  <c r="F56" i="27"/>
  <c r="F54" i="27"/>
  <c r="F52" i="27"/>
  <c r="F51" i="27"/>
  <c r="F50" i="27"/>
  <c r="F40" i="27"/>
  <c r="F122" i="24"/>
  <c r="F121" i="24"/>
  <c r="O113" i="24"/>
  <c r="K113" i="24"/>
  <c r="F112" i="24"/>
  <c r="F111" i="24"/>
  <c r="F110" i="24"/>
  <c r="F109" i="24"/>
  <c r="F108" i="24"/>
  <c r="F106" i="24"/>
  <c r="F105" i="24"/>
  <c r="F104" i="24"/>
  <c r="F103" i="24"/>
  <c r="F102" i="24"/>
  <c r="F58" i="24"/>
  <c r="F57" i="24"/>
  <c r="F56" i="24"/>
  <c r="F54" i="24"/>
  <c r="F52" i="24"/>
  <c r="F51" i="24"/>
  <c r="F50" i="24"/>
  <c r="F41" i="24"/>
  <c r="F42" i="21"/>
  <c r="F52" i="21"/>
  <c r="F53" i="21"/>
  <c r="F55" i="21"/>
  <c r="F57" i="21"/>
  <c r="F58" i="21"/>
  <c r="F59" i="21"/>
  <c r="F101" i="21"/>
  <c r="F102" i="21"/>
  <c r="F103" i="21"/>
  <c r="F104" i="21"/>
  <c r="F105" i="21"/>
  <c r="F107" i="21"/>
  <c r="F108" i="21"/>
  <c r="F109" i="21"/>
  <c r="F110" i="21"/>
  <c r="F111" i="21"/>
  <c r="O112" i="21"/>
  <c r="K112" i="21"/>
  <c r="E49" i="19"/>
  <c r="D49" i="19"/>
  <c r="E90" i="29"/>
  <c r="D90" i="29"/>
  <c r="E88" i="29"/>
  <c r="D88" i="29"/>
  <c r="E87" i="29"/>
  <c r="D87" i="29"/>
  <c r="E86" i="29"/>
  <c r="D86" i="29"/>
  <c r="E85" i="29"/>
  <c r="D85" i="29"/>
  <c r="E78" i="29"/>
  <c r="D78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54" i="29"/>
  <c r="D54" i="29"/>
  <c r="E85" i="19"/>
  <c r="E84" i="19"/>
  <c r="E83" i="19"/>
  <c r="E82" i="19"/>
  <c r="D85" i="19"/>
  <c r="D84" i="19"/>
  <c r="F84" i="19" s="1"/>
  <c r="D83" i="19"/>
  <c r="D82" i="19"/>
  <c r="E70" i="19"/>
  <c r="D70" i="19"/>
  <c r="E69" i="19"/>
  <c r="D69" i="19"/>
  <c r="E68" i="19"/>
  <c r="D68" i="19"/>
  <c r="E67" i="19"/>
  <c r="D67" i="19"/>
  <c r="E66" i="19"/>
  <c r="D66" i="19"/>
  <c r="E65" i="19"/>
  <c r="D65" i="19"/>
  <c r="E54" i="19"/>
  <c r="D54" i="19"/>
  <c r="E88" i="27"/>
  <c r="D88" i="27"/>
  <c r="E86" i="27"/>
  <c r="D86" i="27"/>
  <c r="E85" i="27"/>
  <c r="D85" i="27"/>
  <c r="E84" i="27"/>
  <c r="D84" i="27"/>
  <c r="E83" i="27"/>
  <c r="D83" i="27"/>
  <c r="E77" i="27"/>
  <c r="D77" i="27"/>
  <c r="E71" i="27"/>
  <c r="D71" i="27"/>
  <c r="E70" i="27"/>
  <c r="D70" i="27"/>
  <c r="E69" i="27"/>
  <c r="D69" i="27"/>
  <c r="E68" i="27"/>
  <c r="D68" i="27"/>
  <c r="E67" i="27"/>
  <c r="D67" i="27"/>
  <c r="E66" i="27"/>
  <c r="D66" i="27"/>
  <c r="E55" i="27"/>
  <c r="D55" i="27"/>
  <c r="E90" i="24"/>
  <c r="D90" i="24"/>
  <c r="E88" i="24"/>
  <c r="D88" i="24"/>
  <c r="E87" i="24"/>
  <c r="D87" i="24"/>
  <c r="E86" i="24"/>
  <c r="D86" i="24"/>
  <c r="E85" i="24"/>
  <c r="D85" i="24"/>
  <c r="E79" i="24"/>
  <c r="D79" i="24"/>
  <c r="E73" i="24"/>
  <c r="E72" i="24"/>
  <c r="E71" i="24"/>
  <c r="E70" i="24"/>
  <c r="E69" i="24"/>
  <c r="E68" i="24"/>
  <c r="D73" i="24"/>
  <c r="D72" i="24"/>
  <c r="D71" i="24"/>
  <c r="D70" i="24"/>
  <c r="D69" i="24"/>
  <c r="D68" i="24"/>
  <c r="E55" i="24"/>
  <c r="D55" i="24"/>
  <c r="E89" i="21"/>
  <c r="D89" i="21"/>
  <c r="E87" i="21"/>
  <c r="D87" i="21"/>
  <c r="E86" i="21"/>
  <c r="D86" i="21"/>
  <c r="E85" i="21"/>
  <c r="D85" i="21"/>
  <c r="E84" i="21"/>
  <c r="D84" i="21"/>
  <c r="E78" i="21"/>
  <c r="D78" i="21"/>
  <c r="E72" i="21"/>
  <c r="E71" i="21"/>
  <c r="E70" i="21"/>
  <c r="E69" i="21"/>
  <c r="E68" i="21"/>
  <c r="E67" i="21"/>
  <c r="D72" i="21"/>
  <c r="D71" i="21"/>
  <c r="D70" i="21"/>
  <c r="D69" i="21"/>
  <c r="D68" i="21"/>
  <c r="D67" i="21"/>
  <c r="E56" i="21"/>
  <c r="D56" i="21"/>
  <c r="H40" i="1"/>
  <c r="H38" i="1"/>
  <c r="H36" i="1"/>
  <c r="H34" i="1"/>
  <c r="H32" i="1"/>
  <c r="H30" i="1"/>
  <c r="H101" i="1"/>
  <c r="K55" i="29"/>
  <c r="K53" i="29"/>
  <c r="K50" i="29"/>
  <c r="K40" i="29"/>
  <c r="K49" i="29"/>
  <c r="K51" i="29"/>
  <c r="K56" i="27"/>
  <c r="K54" i="27"/>
  <c r="K52" i="27"/>
  <c r="K40" i="27"/>
  <c r="K50" i="27"/>
  <c r="K51" i="27"/>
  <c r="K54" i="24"/>
  <c r="K51" i="24"/>
  <c r="K50" i="24"/>
  <c r="K56" i="24"/>
  <c r="K41" i="24"/>
  <c r="K52" i="24"/>
  <c r="K53" i="19"/>
  <c r="K51" i="19"/>
  <c r="K55" i="19"/>
  <c r="K49" i="19"/>
  <c r="K52" i="21"/>
  <c r="K42" i="21"/>
  <c r="K51" i="21"/>
  <c r="K50" i="19"/>
  <c r="K55" i="21"/>
  <c r="K57" i="21"/>
  <c r="K53" i="21"/>
  <c r="K40" i="19"/>
  <c r="H96" i="1"/>
  <c r="H19" i="1"/>
  <c r="D9" i="3"/>
  <c r="E9" i="3" s="1"/>
  <c r="F9" i="3" s="1"/>
  <c r="G9" i="3" s="1"/>
  <c r="H9" i="3" s="1"/>
  <c r="I9" i="3" s="1"/>
  <c r="J9" i="3" s="1"/>
  <c r="K9" i="3" s="1"/>
  <c r="L9" i="3" s="1"/>
  <c r="M9" i="3" s="1"/>
  <c r="G99" i="6"/>
  <c r="F99" i="6"/>
  <c r="E99" i="6"/>
  <c r="D99" i="6"/>
  <c r="C99" i="6"/>
  <c r="H29" i="6"/>
  <c r="H28" i="6"/>
  <c r="H27" i="6"/>
  <c r="G30" i="6"/>
  <c r="G31" i="6" s="1"/>
  <c r="F30" i="6"/>
  <c r="F31" i="6" s="1"/>
  <c r="E30" i="6"/>
  <c r="E31" i="6" s="1"/>
  <c r="D30" i="6"/>
  <c r="D31" i="6" s="1"/>
  <c r="C30" i="6"/>
  <c r="C31" i="6" s="1"/>
  <c r="H91" i="1"/>
  <c r="H88" i="1"/>
  <c r="H87" i="1"/>
  <c r="H86" i="1"/>
  <c r="H85" i="1"/>
  <c r="H84" i="1"/>
  <c r="H83" i="1"/>
  <c r="H80" i="1"/>
  <c r="H79" i="1"/>
  <c r="H78" i="1"/>
  <c r="H77" i="1"/>
  <c r="H76" i="1"/>
  <c r="H75" i="1"/>
  <c r="H72" i="1"/>
  <c r="H71" i="1"/>
  <c r="H70" i="1"/>
  <c r="H69" i="1"/>
  <c r="H68" i="1"/>
  <c r="H67" i="1"/>
  <c r="H64" i="1"/>
  <c r="H63" i="1"/>
  <c r="H62" i="1"/>
  <c r="H61" i="1"/>
  <c r="H60" i="1"/>
  <c r="H59" i="1"/>
  <c r="H48" i="1"/>
  <c r="H47" i="1"/>
  <c r="H46" i="1"/>
  <c r="H45" i="1"/>
  <c r="H44" i="1"/>
  <c r="H43" i="1"/>
  <c r="H39" i="1"/>
  <c r="H37" i="1"/>
  <c r="H35" i="1"/>
  <c r="H33" i="1"/>
  <c r="H31" i="1"/>
  <c r="H29" i="1"/>
  <c r="H8" i="1"/>
  <c r="H10" i="1"/>
  <c r="H12" i="1"/>
  <c r="H14" i="1"/>
  <c r="H15" i="1"/>
  <c r="H17" i="1"/>
  <c r="H18" i="1"/>
  <c r="H20" i="1"/>
  <c r="H22" i="1"/>
  <c r="H24" i="1"/>
  <c r="H25" i="1"/>
  <c r="H7" i="1"/>
  <c r="H21" i="6"/>
  <c r="H20" i="6"/>
  <c r="G22" i="6"/>
  <c r="F22" i="6"/>
  <c r="F36" i="6" s="1"/>
  <c r="E22" i="6"/>
  <c r="E35" i="6" s="1"/>
  <c r="D22" i="6"/>
  <c r="D36" i="6" s="1"/>
  <c r="C22" i="6"/>
  <c r="C36" i="6" s="1"/>
  <c r="C25" i="5"/>
  <c r="C24" i="5"/>
  <c r="D33" i="3"/>
  <c r="E33" i="3" s="1"/>
  <c r="F33" i="3" s="1"/>
  <c r="G33" i="3" s="1"/>
  <c r="G25" i="12"/>
  <c r="G17" i="6" s="1"/>
  <c r="F25" i="12"/>
  <c r="F17" i="6" s="1"/>
  <c r="E25" i="12"/>
  <c r="E17" i="6" s="1"/>
  <c r="D25" i="12"/>
  <c r="D17" i="6" s="1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C27" i="5"/>
  <c r="C26" i="5"/>
  <c r="C23" i="5"/>
  <c r="G88" i="6"/>
  <c r="F88" i="6"/>
  <c r="E88" i="6"/>
  <c r="D88" i="6"/>
  <c r="C88" i="6"/>
  <c r="H69" i="12"/>
  <c r="H67" i="12"/>
  <c r="H55" i="12"/>
  <c r="H49" i="12"/>
  <c r="H26" i="12"/>
  <c r="G28" i="12"/>
  <c r="G83" i="12" s="1"/>
  <c r="F28" i="12"/>
  <c r="F83" i="12" s="1"/>
  <c r="E28" i="12"/>
  <c r="E83" i="12" s="1"/>
  <c r="D28" i="12"/>
  <c r="D83" i="12" s="1"/>
  <c r="C28" i="12"/>
  <c r="C83" i="12" s="1"/>
  <c r="D17" i="5"/>
  <c r="S6" i="4" s="1"/>
  <c r="C17" i="5"/>
  <c r="R6" i="4" s="1"/>
  <c r="H5" i="10"/>
  <c r="H4" i="10"/>
  <c r="G6" i="10"/>
  <c r="F6" i="10"/>
  <c r="E6" i="10"/>
  <c r="D6" i="10"/>
  <c r="C6" i="10"/>
  <c r="D31" i="9"/>
  <c r="C31" i="9"/>
  <c r="G28" i="9"/>
  <c r="F28" i="9"/>
  <c r="E28" i="9"/>
  <c r="D28" i="9"/>
  <c r="C28" i="9"/>
  <c r="H10" i="9"/>
  <c r="H4" i="9"/>
  <c r="H5" i="9"/>
  <c r="H6" i="9"/>
  <c r="H7" i="9"/>
  <c r="H8" i="9"/>
  <c r="E10" i="3"/>
  <c r="D26" i="5" s="1"/>
  <c r="G9" i="9"/>
  <c r="F9" i="9"/>
  <c r="E9" i="9"/>
  <c r="D9" i="9"/>
  <c r="C9" i="9"/>
  <c r="G16" i="6"/>
  <c r="F16" i="6"/>
  <c r="E16" i="6"/>
  <c r="D16" i="6"/>
  <c r="C16" i="6"/>
  <c r="C23" i="6" s="1"/>
  <c r="H8" i="4"/>
  <c r="H9" i="4"/>
  <c r="F33" i="4"/>
  <c r="F34" i="4"/>
  <c r="E33" i="4"/>
  <c r="E34" i="4"/>
  <c r="D34" i="4"/>
  <c r="D33" i="4"/>
  <c r="H63" i="12"/>
  <c r="G33" i="4"/>
  <c r="G34" i="4"/>
  <c r="H24" i="4"/>
  <c r="H21" i="4"/>
  <c r="C34" i="4"/>
  <c r="H20" i="4"/>
  <c r="C33" i="4"/>
  <c r="H23" i="4"/>
  <c r="E31" i="9"/>
  <c r="F35" i="6"/>
  <c r="D38" i="3"/>
  <c r="D32" i="3"/>
  <c r="E32" i="3" s="1"/>
  <c r="F32" i="3" s="1"/>
  <c r="G32" i="3" s="1"/>
  <c r="K45" i="13"/>
  <c r="L45" i="13"/>
  <c r="M30" i="13"/>
  <c r="M35" i="13"/>
  <c r="M34" i="13"/>
  <c r="M39" i="13"/>
  <c r="M38" i="13"/>
  <c r="J45" i="13"/>
  <c r="M44" i="13"/>
  <c r="M31" i="13"/>
  <c r="J32" i="13"/>
  <c r="K32" i="13"/>
  <c r="J40" i="13"/>
  <c r="K36" i="13"/>
  <c r="L36" i="13"/>
  <c r="L32" i="13"/>
  <c r="K40" i="13"/>
  <c r="J36" i="13"/>
  <c r="L40" i="13"/>
  <c r="M47" i="13"/>
  <c r="H75" i="21" l="1"/>
  <c r="H74" i="21"/>
  <c r="E65" i="27"/>
  <c r="H72" i="27"/>
  <c r="H68" i="27"/>
  <c r="H71" i="27"/>
  <c r="M71" i="27" s="1"/>
  <c r="H67" i="27"/>
  <c r="H74" i="27"/>
  <c r="H70" i="27"/>
  <c r="H66" i="27"/>
  <c r="H73" i="27"/>
  <c r="H69" i="27"/>
  <c r="H65" i="27"/>
  <c r="E66" i="29"/>
  <c r="H73" i="29"/>
  <c r="H69" i="29"/>
  <c r="H72" i="29"/>
  <c r="H68" i="29"/>
  <c r="U68" i="17" s="1"/>
  <c r="H75" i="29"/>
  <c r="H71" i="29"/>
  <c r="H67" i="29"/>
  <c r="H74" i="29"/>
  <c r="H70" i="29"/>
  <c r="M70" i="29" s="1"/>
  <c r="H66" i="29"/>
  <c r="G30" i="2"/>
  <c r="G48" i="2"/>
  <c r="AK26" i="1"/>
  <c r="AM26" i="1"/>
  <c r="AG26" i="1"/>
  <c r="AI26" i="1"/>
  <c r="AJ26" i="1"/>
  <c r="AL26" i="1"/>
  <c r="AF26" i="1"/>
  <c r="AH26" i="1"/>
  <c r="E23" i="6"/>
  <c r="H75" i="24"/>
  <c r="H76" i="24"/>
  <c r="E64" i="19"/>
  <c r="H69" i="19"/>
  <c r="H65" i="19"/>
  <c r="H73" i="19"/>
  <c r="H68" i="19"/>
  <c r="H64" i="19"/>
  <c r="T64" i="19" s="1"/>
  <c r="H72" i="19"/>
  <c r="H67" i="19"/>
  <c r="H71" i="19"/>
  <c r="H70" i="19"/>
  <c r="H66" i="19"/>
  <c r="H32" i="15"/>
  <c r="H28" i="15"/>
  <c r="F23" i="6"/>
  <c r="AC98" i="1"/>
  <c r="E67" i="24"/>
  <c r="H73" i="24"/>
  <c r="H69" i="24"/>
  <c r="H72" i="24"/>
  <c r="H68" i="24"/>
  <c r="H71" i="24"/>
  <c r="W71" i="24" s="1"/>
  <c r="H67" i="24"/>
  <c r="R67" i="24" s="1"/>
  <c r="H74" i="24"/>
  <c r="K74" i="24" s="1"/>
  <c r="H70" i="24"/>
  <c r="E66" i="21"/>
  <c r="H69" i="21"/>
  <c r="H72" i="21"/>
  <c r="H68" i="21"/>
  <c r="H73" i="21"/>
  <c r="K73" i="21" s="1"/>
  <c r="H71" i="21"/>
  <c r="H67" i="21"/>
  <c r="H70" i="21"/>
  <c r="H66" i="21"/>
  <c r="M66" i="21" s="1"/>
  <c r="F82" i="19"/>
  <c r="G17" i="2"/>
  <c r="G27" i="2"/>
  <c r="G28" i="2"/>
  <c r="G59" i="2"/>
  <c r="G81" i="2"/>
  <c r="AM24" i="1"/>
  <c r="AI24" i="1"/>
  <c r="AL24" i="1"/>
  <c r="AH24" i="1"/>
  <c r="AK24" i="1"/>
  <c r="AJ24" i="1"/>
  <c r="AG24" i="1"/>
  <c r="AF24" i="1"/>
  <c r="G40" i="2"/>
  <c r="G31" i="2"/>
  <c r="G39" i="2"/>
  <c r="G29" i="2"/>
  <c r="AM25" i="1"/>
  <c r="AI25" i="1"/>
  <c r="AL25" i="1"/>
  <c r="AK25" i="1"/>
  <c r="AJ25" i="1"/>
  <c r="AH25" i="1"/>
  <c r="AG25" i="1"/>
  <c r="AF25" i="1"/>
  <c r="G37" i="2"/>
  <c r="G41" i="2"/>
  <c r="G21" i="2"/>
  <c r="D21" i="2"/>
  <c r="C21" i="2"/>
  <c r="G52" i="2"/>
  <c r="D52" i="2"/>
  <c r="C52" i="2"/>
  <c r="D70" i="2"/>
  <c r="C70" i="2"/>
  <c r="G70" i="2"/>
  <c r="C74" i="2"/>
  <c r="D74" i="2"/>
  <c r="G74" i="2"/>
  <c r="G83" i="2"/>
  <c r="D83" i="2"/>
  <c r="C42" i="2"/>
  <c r="G42" i="2"/>
  <c r="D42" i="2"/>
  <c r="G71" i="2"/>
  <c r="D71" i="2"/>
  <c r="C71" i="2"/>
  <c r="C32" i="2"/>
  <c r="D32" i="2"/>
  <c r="G32" i="2"/>
  <c r="G63" i="2"/>
  <c r="C63" i="2"/>
  <c r="D63" i="2"/>
  <c r="G72" i="2"/>
  <c r="C72" i="2"/>
  <c r="D72" i="2"/>
  <c r="G85" i="2"/>
  <c r="C85" i="2"/>
  <c r="D85" i="2"/>
  <c r="C69" i="2"/>
  <c r="D69" i="2"/>
  <c r="G69" i="2"/>
  <c r="F85" i="19"/>
  <c r="N24" i="1"/>
  <c r="R24" i="1"/>
  <c r="O24" i="1"/>
  <c r="S24" i="1"/>
  <c r="Q24" i="1"/>
  <c r="T24" i="1"/>
  <c r="U24" i="1"/>
  <c r="P24" i="1"/>
  <c r="E36" i="6"/>
  <c r="E37" i="6" s="1"/>
  <c r="E38" i="6" s="1"/>
  <c r="N25" i="1"/>
  <c r="R25" i="1"/>
  <c r="O25" i="1"/>
  <c r="S25" i="1"/>
  <c r="Q25" i="1"/>
  <c r="T25" i="1"/>
  <c r="U25" i="1"/>
  <c r="P25" i="1"/>
  <c r="N26" i="1"/>
  <c r="R26" i="1"/>
  <c r="O26" i="1"/>
  <c r="S26" i="1"/>
  <c r="Q26" i="1"/>
  <c r="T26" i="1"/>
  <c r="U26" i="1"/>
  <c r="P26" i="1"/>
  <c r="H6" i="10"/>
  <c r="H22" i="6"/>
  <c r="P7" i="42"/>
  <c r="H32" i="3"/>
  <c r="H33" i="3"/>
  <c r="K46" i="13"/>
  <c r="H27" i="42"/>
  <c r="S7" i="2"/>
  <c r="S5" i="2"/>
  <c r="S6" i="2"/>
  <c r="S9" i="2"/>
  <c r="S8" i="2"/>
  <c r="H78" i="21"/>
  <c r="G45" i="42"/>
  <c r="G57" i="6" s="1"/>
  <c r="W5" i="19"/>
  <c r="T5" i="29"/>
  <c r="W5" i="24"/>
  <c r="U5" i="21"/>
  <c r="X5" i="19"/>
  <c r="S5" i="21"/>
  <c r="R5" i="29"/>
  <c r="T5" i="27"/>
  <c r="V5" i="24"/>
  <c r="O20" i="41"/>
  <c r="U98" i="1"/>
  <c r="O45" i="41"/>
  <c r="O15" i="41"/>
  <c r="H34" i="42"/>
  <c r="G46" i="42"/>
  <c r="G58" i="6" s="1"/>
  <c r="O11" i="41"/>
  <c r="J46" i="13"/>
  <c r="M32" i="13"/>
  <c r="O16" i="41"/>
  <c r="E41" i="42"/>
  <c r="D46" i="42"/>
  <c r="D58" i="6" s="1"/>
  <c r="AD98" i="1"/>
  <c r="AF95" i="1"/>
  <c r="AX95" i="1" s="1"/>
  <c r="AH95" i="1"/>
  <c r="AZ95" i="1" s="1"/>
  <c r="AL95" i="1"/>
  <c r="BD95" i="1" s="1"/>
  <c r="AJ95" i="1"/>
  <c r="BB95" i="1" s="1"/>
  <c r="AI95" i="1"/>
  <c r="BA95" i="1" s="1"/>
  <c r="C35" i="6"/>
  <c r="C37" i="6" s="1"/>
  <c r="C38" i="6" s="1"/>
  <c r="F37" i="6"/>
  <c r="F38" i="6" s="1"/>
  <c r="D23" i="6"/>
  <c r="C34" i="5"/>
  <c r="C35" i="5" s="1"/>
  <c r="R7" i="4"/>
  <c r="R8" i="4" s="1"/>
  <c r="C17" i="44" s="1"/>
  <c r="D66" i="21"/>
  <c r="H91" i="21"/>
  <c r="R91" i="21" s="1"/>
  <c r="F83" i="19"/>
  <c r="F48" i="24"/>
  <c r="F49" i="19"/>
  <c r="F70" i="21"/>
  <c r="F85" i="21"/>
  <c r="F87" i="24"/>
  <c r="F76" i="19"/>
  <c r="F90" i="21"/>
  <c r="F88" i="19"/>
  <c r="F81" i="27"/>
  <c r="F83" i="24"/>
  <c r="F90" i="27"/>
  <c r="F66" i="27"/>
  <c r="F70" i="27"/>
  <c r="F85" i="27"/>
  <c r="F79" i="19"/>
  <c r="F82" i="24"/>
  <c r="F81" i="21"/>
  <c r="F93" i="24"/>
  <c r="F80" i="19"/>
  <c r="F82" i="21"/>
  <c r="F66" i="19"/>
  <c r="F68" i="29"/>
  <c r="F70" i="29"/>
  <c r="F72" i="29"/>
  <c r="F78" i="29"/>
  <c r="F86" i="29"/>
  <c r="F88" i="29"/>
  <c r="F90" i="19"/>
  <c r="F92" i="29"/>
  <c r="F78" i="21"/>
  <c r="F68" i="27"/>
  <c r="F65" i="19"/>
  <c r="F79" i="27"/>
  <c r="F92" i="21"/>
  <c r="F68" i="21"/>
  <c r="F32" i="24"/>
  <c r="E77" i="12"/>
  <c r="D49" i="42"/>
  <c r="D65" i="42"/>
  <c r="H61" i="42"/>
  <c r="F65" i="42"/>
  <c r="C77" i="12"/>
  <c r="F77" i="12"/>
  <c r="E27" i="12"/>
  <c r="E29" i="12" s="1"/>
  <c r="E30" i="12" s="1"/>
  <c r="D27" i="12"/>
  <c r="D31" i="12" s="1"/>
  <c r="X44" i="12"/>
  <c r="C27" i="12"/>
  <c r="C31" i="12" s="1"/>
  <c r="H37" i="12"/>
  <c r="H28" i="12"/>
  <c r="H99" i="6"/>
  <c r="H81" i="12"/>
  <c r="F52" i="4"/>
  <c r="G52" i="4"/>
  <c r="H51" i="4"/>
  <c r="E52" i="4"/>
  <c r="G58" i="4"/>
  <c r="H44" i="4"/>
  <c r="H45" i="4"/>
  <c r="D59" i="4"/>
  <c r="E59" i="4"/>
  <c r="E58" i="4"/>
  <c r="C52" i="4"/>
  <c r="H48" i="4"/>
  <c r="D52" i="4"/>
  <c r="H46" i="4"/>
  <c r="H47" i="4"/>
  <c r="H49" i="4"/>
  <c r="H50" i="4"/>
  <c r="H23" i="12"/>
  <c r="H24" i="12"/>
  <c r="G77" i="12"/>
  <c r="D77" i="12"/>
  <c r="H25" i="12"/>
  <c r="O17" i="41"/>
  <c r="O10" i="41"/>
  <c r="H83" i="12"/>
  <c r="F27" i="12"/>
  <c r="H12" i="42"/>
  <c r="F41" i="42"/>
  <c r="P41" i="12"/>
  <c r="P43" i="12" s="1"/>
  <c r="X41" i="12"/>
  <c r="X43" i="12" s="1"/>
  <c r="H38" i="12"/>
  <c r="M36" i="13"/>
  <c r="H22" i="12"/>
  <c r="C58" i="4"/>
  <c r="D58" i="4"/>
  <c r="C17" i="6"/>
  <c r="H17" i="6" s="1"/>
  <c r="D35" i="6"/>
  <c r="F72" i="21"/>
  <c r="F86" i="21"/>
  <c r="F69" i="24"/>
  <c r="F83" i="27"/>
  <c r="F88" i="27"/>
  <c r="D67" i="24"/>
  <c r="G21" i="29"/>
  <c r="K21" i="29" s="1"/>
  <c r="F32" i="21"/>
  <c r="F78" i="19"/>
  <c r="F81" i="24"/>
  <c r="F80" i="21"/>
  <c r="F92" i="24"/>
  <c r="F87" i="19"/>
  <c r="H36" i="12"/>
  <c r="D41" i="12"/>
  <c r="D43" i="12" s="1"/>
  <c r="D44" i="12" s="1"/>
  <c r="H16" i="6"/>
  <c r="H23" i="6" s="1"/>
  <c r="H88" i="6"/>
  <c r="G27" i="12"/>
  <c r="F87" i="21"/>
  <c r="G22" i="21"/>
  <c r="K22" i="21" s="1"/>
  <c r="M45" i="13"/>
  <c r="G22" i="24"/>
  <c r="K22" i="24" s="1"/>
  <c r="G18" i="21"/>
  <c r="K18" i="21" s="1"/>
  <c r="F41" i="12"/>
  <c r="F43" i="12" s="1"/>
  <c r="F44" i="12" s="1"/>
  <c r="G52" i="6"/>
  <c r="G53" i="6" s="1"/>
  <c r="E45" i="42"/>
  <c r="E57" i="6" s="1"/>
  <c r="F71" i="24"/>
  <c r="F59" i="4"/>
  <c r="F69" i="21"/>
  <c r="O21" i="41"/>
  <c r="G41" i="12"/>
  <c r="G43" i="12" s="1"/>
  <c r="G44" i="12" s="1"/>
  <c r="E41" i="12"/>
  <c r="E43" i="12" s="1"/>
  <c r="E44" i="12" s="1"/>
  <c r="H39" i="12"/>
  <c r="G47" i="21"/>
  <c r="K47" i="21" s="1"/>
  <c r="H21" i="12"/>
  <c r="F56" i="21"/>
  <c r="M40" i="13"/>
  <c r="G59" i="4"/>
  <c r="F58" i="4"/>
  <c r="H30" i="6"/>
  <c r="H31" i="6" s="1"/>
  <c r="F77" i="19"/>
  <c r="F80" i="24"/>
  <c r="F79" i="21"/>
  <c r="F91" i="24"/>
  <c r="F91" i="21"/>
  <c r="D29" i="5"/>
  <c r="D33" i="5"/>
  <c r="D28" i="5"/>
  <c r="D31" i="5"/>
  <c r="D32" i="5"/>
  <c r="D30" i="5"/>
  <c r="F10" i="3"/>
  <c r="D24" i="5"/>
  <c r="D27" i="5"/>
  <c r="D23" i="5"/>
  <c r="H36" i="42"/>
  <c r="C48" i="42"/>
  <c r="H48" i="42" s="1"/>
  <c r="C52" i="42"/>
  <c r="H52" i="42" s="1"/>
  <c r="H40" i="42"/>
  <c r="H33" i="42"/>
  <c r="D25" i="5"/>
  <c r="C59" i="4"/>
  <c r="H34" i="4"/>
  <c r="L46" i="13"/>
  <c r="E38" i="3"/>
  <c r="H33" i="4"/>
  <c r="G35" i="6"/>
  <c r="G36" i="6"/>
  <c r="G23" i="6"/>
  <c r="R132" i="1"/>
  <c r="D64" i="19"/>
  <c r="X5" i="24"/>
  <c r="R5" i="19"/>
  <c r="S5" i="27"/>
  <c r="V5" i="21"/>
  <c r="U5" i="29"/>
  <c r="X5" i="21"/>
  <c r="V5" i="27"/>
  <c r="W5" i="29"/>
  <c r="D45" i="42"/>
  <c r="D57" i="6" s="1"/>
  <c r="D41" i="42"/>
  <c r="C50" i="42"/>
  <c r="H50" i="42" s="1"/>
  <c r="H38" i="42"/>
  <c r="H51" i="42"/>
  <c r="H68" i="42"/>
  <c r="F67" i="21"/>
  <c r="F71" i="21"/>
  <c r="F84" i="21"/>
  <c r="F89" i="21"/>
  <c r="F54" i="19"/>
  <c r="F69" i="19"/>
  <c r="W5" i="27"/>
  <c r="X5" i="27"/>
  <c r="R5" i="24"/>
  <c r="V5" i="19"/>
  <c r="T5" i="19"/>
  <c r="U5" i="24"/>
  <c r="S5" i="24"/>
  <c r="S5" i="19"/>
  <c r="H47" i="42"/>
  <c r="G27" i="21"/>
  <c r="K27" i="21" s="1"/>
  <c r="G25" i="27"/>
  <c r="G25" i="29"/>
  <c r="K25" i="29" s="1"/>
  <c r="G26" i="24"/>
  <c r="K26" i="24" s="1"/>
  <c r="D7" i="3"/>
  <c r="E7" i="3" s="1"/>
  <c r="F7" i="3" s="1"/>
  <c r="G7" i="3" s="1"/>
  <c r="F79" i="24"/>
  <c r="F88" i="24"/>
  <c r="F67" i="27"/>
  <c r="F71" i="27"/>
  <c r="F77" i="27"/>
  <c r="F84" i="27"/>
  <c r="X5" i="29"/>
  <c r="W5" i="21"/>
  <c r="U5" i="27"/>
  <c r="V5" i="29"/>
  <c r="T5" i="24"/>
  <c r="R5" i="21"/>
  <c r="U5" i="19"/>
  <c r="T5" i="21"/>
  <c r="R5" i="27"/>
  <c r="S5" i="29"/>
  <c r="C41" i="42"/>
  <c r="G41" i="42"/>
  <c r="H37" i="42"/>
  <c r="C41" i="12"/>
  <c r="C43" i="12" s="1"/>
  <c r="C44" i="12" s="1"/>
  <c r="H35" i="12"/>
  <c r="F79" i="29"/>
  <c r="F81" i="29"/>
  <c r="C46" i="42"/>
  <c r="C58" i="6" s="1"/>
  <c r="G49" i="42"/>
  <c r="F45" i="42"/>
  <c r="F57" i="6" s="1"/>
  <c r="F46" i="42"/>
  <c r="F58" i="6" s="1"/>
  <c r="F49" i="42"/>
  <c r="H83" i="24"/>
  <c r="R87" i="17" s="1"/>
  <c r="F91" i="29"/>
  <c r="C45" i="42"/>
  <c r="C57" i="6" s="1"/>
  <c r="D67" i="42"/>
  <c r="D42" i="6" s="1"/>
  <c r="D44" i="6" s="1"/>
  <c r="E46" i="42"/>
  <c r="E58" i="6" s="1"/>
  <c r="H35" i="42"/>
  <c r="H39" i="42"/>
  <c r="F82" i="29"/>
  <c r="C49" i="42"/>
  <c r="E67" i="42"/>
  <c r="E42" i="6" s="1"/>
  <c r="E44" i="6" s="1"/>
  <c r="E45" i="6" s="1"/>
  <c r="F52" i="6"/>
  <c r="F53" i="6" s="1"/>
  <c r="C52" i="6"/>
  <c r="C53" i="6" s="1"/>
  <c r="F69" i="29"/>
  <c r="F37" i="29"/>
  <c r="F71" i="29"/>
  <c r="F85" i="29"/>
  <c r="F90" i="29"/>
  <c r="F54" i="29"/>
  <c r="F67" i="29"/>
  <c r="F87" i="29"/>
  <c r="D66" i="29"/>
  <c r="F80" i="29"/>
  <c r="F93" i="29"/>
  <c r="F68" i="19"/>
  <c r="F70" i="19"/>
  <c r="F67" i="19"/>
  <c r="F31" i="19"/>
  <c r="F89" i="19"/>
  <c r="F19" i="27"/>
  <c r="F78" i="27"/>
  <c r="F80" i="27"/>
  <c r="F89" i="27"/>
  <c r="F91" i="27"/>
  <c r="F68" i="24"/>
  <c r="F72" i="24"/>
  <c r="F73" i="24"/>
  <c r="F85" i="24"/>
  <c r="F90" i="24"/>
  <c r="F55" i="24"/>
  <c r="F86" i="24"/>
  <c r="F70" i="24"/>
  <c r="F22" i="24"/>
  <c r="AM132" i="1"/>
  <c r="AQ132" i="1"/>
  <c r="U132" i="1"/>
  <c r="AR132" i="1"/>
  <c r="T132" i="1"/>
  <c r="BG76" i="1"/>
  <c r="Q132" i="1"/>
  <c r="AO132" i="1"/>
  <c r="BG77" i="1"/>
  <c r="BG80" i="1"/>
  <c r="BG78" i="1"/>
  <c r="BG75" i="1"/>
  <c r="AK132" i="1"/>
  <c r="AA132" i="1"/>
  <c r="X132" i="1"/>
  <c r="O132" i="1"/>
  <c r="P132" i="1"/>
  <c r="AS132" i="1"/>
  <c r="AC132" i="1"/>
  <c r="AB132" i="1"/>
  <c r="AT132" i="1"/>
  <c r="W132" i="1"/>
  <c r="AI132" i="1"/>
  <c r="AF132" i="1"/>
  <c r="Y132" i="1"/>
  <c r="Z132" i="1"/>
  <c r="AL132" i="1"/>
  <c r="AD132" i="1"/>
  <c r="AV132" i="1"/>
  <c r="AP132" i="1"/>
  <c r="N132" i="1"/>
  <c r="AJ132" i="1"/>
  <c r="AG132" i="1"/>
  <c r="AH132" i="1"/>
  <c r="S132" i="1"/>
  <c r="AU132" i="1"/>
  <c r="M13" i="39"/>
  <c r="H88" i="24"/>
  <c r="T88" i="24" s="1"/>
  <c r="H76" i="19"/>
  <c r="H78" i="29"/>
  <c r="R78" i="29" s="1"/>
  <c r="J13" i="39"/>
  <c r="H86" i="21"/>
  <c r="R86" i="21" s="1"/>
  <c r="H91" i="27"/>
  <c r="R91" i="27" s="1"/>
  <c r="H80" i="21"/>
  <c r="U80" i="21" s="1"/>
  <c r="E13" i="39"/>
  <c r="H84" i="19"/>
  <c r="W84" i="19" s="1"/>
  <c r="G45" i="39"/>
  <c r="H79" i="24"/>
  <c r="H77" i="27"/>
  <c r="U29" i="17"/>
  <c r="D40" i="1"/>
  <c r="H86" i="27"/>
  <c r="T86" i="27" s="1"/>
  <c r="D65" i="27"/>
  <c r="H85" i="19"/>
  <c r="W85" i="19" s="1"/>
  <c r="H90" i="27"/>
  <c r="R90" i="27" s="1"/>
  <c r="K28" i="15"/>
  <c r="S71" i="29"/>
  <c r="S68" i="19"/>
  <c r="H82" i="24"/>
  <c r="R86" i="17" s="1"/>
  <c r="R29" i="17"/>
  <c r="H88" i="27"/>
  <c r="T88" i="27" s="1"/>
  <c r="H90" i="29"/>
  <c r="V90" i="29" s="1"/>
  <c r="K32" i="15"/>
  <c r="H93" i="29"/>
  <c r="U105" i="17" s="1"/>
  <c r="H93" i="24"/>
  <c r="U93" i="24" s="1"/>
  <c r="V65" i="27"/>
  <c r="H90" i="19"/>
  <c r="V90" i="19" s="1"/>
  <c r="E37" i="1"/>
  <c r="E39" i="1"/>
  <c r="E22" i="1"/>
  <c r="D14" i="1"/>
  <c r="E18" i="1"/>
  <c r="E28" i="15"/>
  <c r="H85" i="21"/>
  <c r="Q94" i="17" s="1"/>
  <c r="C21" i="1"/>
  <c r="D33" i="1"/>
  <c r="V74" i="27"/>
  <c r="X69" i="27"/>
  <c r="S70" i="27"/>
  <c r="M66" i="29"/>
  <c r="H92" i="21"/>
  <c r="S92" i="21" s="1"/>
  <c r="H79" i="21"/>
  <c r="S79" i="21" s="1"/>
  <c r="H84" i="21"/>
  <c r="Q93" i="17" s="1"/>
  <c r="V70" i="21"/>
  <c r="H87" i="21"/>
  <c r="V87" i="21" s="1"/>
  <c r="H90" i="21"/>
  <c r="T90" i="21" s="1"/>
  <c r="H87" i="24"/>
  <c r="R95" i="17" s="1"/>
  <c r="H87" i="29"/>
  <c r="V87" i="29" s="1"/>
  <c r="H85" i="27"/>
  <c r="V85" i="27" s="1"/>
  <c r="E29" i="1"/>
  <c r="D32" i="1"/>
  <c r="E32" i="1"/>
  <c r="D29" i="1"/>
  <c r="D37" i="1"/>
  <c r="D39" i="1"/>
  <c r="C32" i="1"/>
  <c r="C37" i="1"/>
  <c r="E36" i="1"/>
  <c r="E40" i="1"/>
  <c r="E33" i="1"/>
  <c r="D36" i="1"/>
  <c r="C40" i="1"/>
  <c r="BL40" i="1" s="1"/>
  <c r="BM40" i="1" s="1"/>
  <c r="C29" i="1"/>
  <c r="E30" i="1"/>
  <c r="C33" i="1"/>
  <c r="C36" i="1"/>
  <c r="C39" i="1"/>
  <c r="BL39" i="1" s="1"/>
  <c r="BM39" i="1" s="1"/>
  <c r="D30" i="1"/>
  <c r="C30" i="1"/>
  <c r="C35" i="1"/>
  <c r="D35" i="1"/>
  <c r="H82" i="29"/>
  <c r="U87" i="17" s="1"/>
  <c r="H78" i="19"/>
  <c r="H78" i="27"/>
  <c r="H80" i="27"/>
  <c r="S86" i="17" s="1"/>
  <c r="H81" i="29"/>
  <c r="U86" i="17" s="1"/>
  <c r="D17" i="1"/>
  <c r="D8" i="1"/>
  <c r="C31" i="1"/>
  <c r="C32" i="15"/>
  <c r="F28" i="15"/>
  <c r="H79" i="19"/>
  <c r="T86" i="17" s="1"/>
  <c r="E35" i="1"/>
  <c r="E38" i="1"/>
  <c r="D31" i="1"/>
  <c r="E31" i="1"/>
  <c r="C8" i="1"/>
  <c r="C16" i="1"/>
  <c r="E20" i="1"/>
  <c r="E26" i="1"/>
  <c r="E11" i="1"/>
  <c r="D23" i="1"/>
  <c r="C19" i="1"/>
  <c r="E8" i="1"/>
  <c r="D12" i="1"/>
  <c r="E16" i="1"/>
  <c r="C20" i="1"/>
  <c r="C26" i="1"/>
  <c r="BL26" i="1" s="1"/>
  <c r="C7" i="1"/>
  <c r="D11" i="1"/>
  <c r="C15" i="1"/>
  <c r="C23" i="1"/>
  <c r="D25" i="1"/>
  <c r="D19" i="1"/>
  <c r="C12" i="1"/>
  <c r="D20" i="1"/>
  <c r="D26" i="1"/>
  <c r="C9" i="1"/>
  <c r="E15" i="1"/>
  <c r="E17" i="1"/>
  <c r="E12" i="1"/>
  <c r="D16" i="1"/>
  <c r="D24" i="1"/>
  <c r="D15" i="1"/>
  <c r="E23" i="1"/>
  <c r="E25" i="1"/>
  <c r="E19" i="1"/>
  <c r="C14" i="1"/>
  <c r="D7" i="1"/>
  <c r="D21" i="1"/>
  <c r="C25" i="1"/>
  <c r="BL25" i="1" s="1"/>
  <c r="E10" i="1"/>
  <c r="C22" i="1"/>
  <c r="D13" i="1"/>
  <c r="C28" i="15"/>
  <c r="E32" i="15"/>
  <c r="C11" i="1"/>
  <c r="D32" i="15"/>
  <c r="F32" i="15"/>
  <c r="G32" i="15"/>
  <c r="E7" i="1"/>
  <c r="E9" i="1"/>
  <c r="H90" i="24"/>
  <c r="X90" i="24" s="1"/>
  <c r="H85" i="24"/>
  <c r="H81" i="24"/>
  <c r="H91" i="24"/>
  <c r="W91" i="24" s="1"/>
  <c r="H86" i="24"/>
  <c r="H80" i="24"/>
  <c r="T29" i="17"/>
  <c r="H87" i="19"/>
  <c r="S87" i="19" s="1"/>
  <c r="H82" i="19"/>
  <c r="H80" i="19"/>
  <c r="T87" i="17" s="1"/>
  <c r="H88" i="19"/>
  <c r="S88" i="19" s="1"/>
  <c r="H83" i="19"/>
  <c r="H77" i="19"/>
  <c r="D10" i="1"/>
  <c r="C10" i="1"/>
  <c r="E14" i="1"/>
  <c r="C18" i="1"/>
  <c r="D18" i="1"/>
  <c r="D22" i="1"/>
  <c r="C24" i="1"/>
  <c r="BL24" i="1" s="1"/>
  <c r="E24" i="1"/>
  <c r="E34" i="1"/>
  <c r="C34" i="1"/>
  <c r="D34" i="1"/>
  <c r="C38" i="1"/>
  <c r="D38" i="1"/>
  <c r="H80" i="29"/>
  <c r="H79" i="27"/>
  <c r="H79" i="29"/>
  <c r="H81" i="27"/>
  <c r="S87" i="17" s="1"/>
  <c r="H92" i="29"/>
  <c r="H89" i="19"/>
  <c r="H92" i="24"/>
  <c r="D9" i="1"/>
  <c r="C13" i="1"/>
  <c r="E13" i="1"/>
  <c r="C17" i="1"/>
  <c r="E21" i="1"/>
  <c r="H88" i="29"/>
  <c r="H82" i="21"/>
  <c r="H86" i="29"/>
  <c r="H91" i="29"/>
  <c r="U103" i="17" s="1"/>
  <c r="H84" i="27"/>
  <c r="H89" i="27"/>
  <c r="X89" i="27" s="1"/>
  <c r="H89" i="21"/>
  <c r="Q102" i="17" s="1"/>
  <c r="H81" i="21"/>
  <c r="Q86" i="17" s="1"/>
  <c r="H85" i="29"/>
  <c r="H83" i="27"/>
  <c r="F55" i="27"/>
  <c r="F69" i="27"/>
  <c r="F86" i="27"/>
  <c r="F18" i="29"/>
  <c r="F20" i="29"/>
  <c r="F22" i="29"/>
  <c r="F24" i="29"/>
  <c r="G20" i="29"/>
  <c r="K20" i="29" s="1"/>
  <c r="G20" i="24"/>
  <c r="K20" i="24" s="1"/>
  <c r="G20" i="27"/>
  <c r="K20" i="27" s="1"/>
  <c r="F27" i="29"/>
  <c r="F29" i="29"/>
  <c r="F36" i="29"/>
  <c r="F45" i="29"/>
  <c r="F21" i="19"/>
  <c r="F34" i="19"/>
  <c r="F18" i="24"/>
  <c r="F36" i="24"/>
  <c r="F50" i="21"/>
  <c r="D102" i="2"/>
  <c r="X103" i="1"/>
  <c r="Z103" i="1"/>
  <c r="K40" i="21"/>
  <c r="G35" i="24"/>
  <c r="K35" i="24" s="1"/>
  <c r="F31" i="24"/>
  <c r="F30" i="27"/>
  <c r="F30" i="29"/>
  <c r="G22" i="29"/>
  <c r="K22" i="29" s="1"/>
  <c r="G22" i="27"/>
  <c r="K22" i="27" s="1"/>
  <c r="G22" i="19"/>
  <c r="K22" i="19" s="1"/>
  <c r="G23" i="21"/>
  <c r="K23" i="21" s="1"/>
  <c r="G23" i="24"/>
  <c r="AF98" i="1"/>
  <c r="AL98" i="1"/>
  <c r="G92" i="29"/>
  <c r="R102" i="2"/>
  <c r="J103" i="1" s="1"/>
  <c r="G18" i="29"/>
  <c r="K18" i="29" s="1"/>
  <c r="G18" i="27"/>
  <c r="K18" i="27" s="1"/>
  <c r="G31" i="21"/>
  <c r="K31" i="21" s="1"/>
  <c r="F28" i="29"/>
  <c r="F31" i="29"/>
  <c r="F33" i="29"/>
  <c r="F35" i="29"/>
  <c r="F46" i="29"/>
  <c r="F48" i="29"/>
  <c r="F18" i="19"/>
  <c r="F20" i="19"/>
  <c r="F22" i="19"/>
  <c r="F24" i="19"/>
  <c r="F26" i="19"/>
  <c r="F28" i="19"/>
  <c r="F30" i="19"/>
  <c r="F33" i="19"/>
  <c r="F35" i="19"/>
  <c r="F45" i="19"/>
  <c r="F47" i="19"/>
  <c r="F17" i="27"/>
  <c r="F21" i="27"/>
  <c r="F23" i="27"/>
  <c r="F27" i="27"/>
  <c r="F29" i="27"/>
  <c r="F32" i="27"/>
  <c r="F34" i="27"/>
  <c r="F36" i="27"/>
  <c r="F45" i="27"/>
  <c r="F47" i="27"/>
  <c r="F20" i="24"/>
  <c r="F24" i="24"/>
  <c r="F28" i="24"/>
  <c r="F30" i="24"/>
  <c r="F33" i="24"/>
  <c r="F35" i="24"/>
  <c r="F37" i="24"/>
  <c r="F46" i="24"/>
  <c r="F17" i="21"/>
  <c r="H58" i="42"/>
  <c r="E49" i="42"/>
  <c r="E65" i="42"/>
  <c r="F67" i="42"/>
  <c r="F42" i="6" s="1"/>
  <c r="F44" i="6" s="1"/>
  <c r="F45" i="6" s="1"/>
  <c r="G67" i="42"/>
  <c r="L103" i="2"/>
  <c r="G46" i="19"/>
  <c r="K46" i="19" s="1"/>
  <c r="G46" i="29"/>
  <c r="K46" i="29" s="1"/>
  <c r="G48" i="21"/>
  <c r="K48" i="21" s="1"/>
  <c r="G47" i="24"/>
  <c r="K47" i="24" s="1"/>
  <c r="G89" i="19"/>
  <c r="G90" i="27"/>
  <c r="L101" i="2"/>
  <c r="S101" i="2"/>
  <c r="K102" i="1" s="1"/>
  <c r="E101" i="2"/>
  <c r="F24" i="21"/>
  <c r="F27" i="21"/>
  <c r="F31" i="21"/>
  <c r="F34" i="21"/>
  <c r="F36" i="21"/>
  <c r="F38" i="21"/>
  <c r="F47" i="21"/>
  <c r="F49" i="21"/>
  <c r="X100" i="1"/>
  <c r="AD99" i="1"/>
  <c r="AF97" i="1"/>
  <c r="AX97" i="1" s="1"/>
  <c r="AL102" i="1"/>
  <c r="F21" i="21"/>
  <c r="F23" i="21"/>
  <c r="F25" i="21"/>
  <c r="F28" i="21"/>
  <c r="F30" i="21"/>
  <c r="F33" i="21"/>
  <c r="F35" i="21"/>
  <c r="F37" i="21"/>
  <c r="F39" i="21"/>
  <c r="F48" i="21"/>
  <c r="T93" i="1"/>
  <c r="BD93" i="1" s="1"/>
  <c r="N93" i="1"/>
  <c r="AX93" i="1" s="1"/>
  <c r="O93" i="1"/>
  <c r="AY93" i="1" s="1"/>
  <c r="AD100" i="1"/>
  <c r="BE100" i="1" s="1"/>
  <c r="K11" i="15" s="1"/>
  <c r="W98" i="1"/>
  <c r="X98" i="1"/>
  <c r="Y98" i="1"/>
  <c r="F18" i="21"/>
  <c r="D19" i="21"/>
  <c r="F19" i="21" s="1"/>
  <c r="G35" i="29"/>
  <c r="K35" i="29" s="1"/>
  <c r="Z98" i="1"/>
  <c r="G36" i="21"/>
  <c r="K36" i="21" s="1"/>
  <c r="G34" i="29"/>
  <c r="K34" i="29" s="1"/>
  <c r="G36" i="19"/>
  <c r="K36" i="19" s="1"/>
  <c r="G38" i="21"/>
  <c r="K38" i="21" s="1"/>
  <c r="N98" i="1"/>
  <c r="G30" i="24"/>
  <c r="K30" i="24" s="1"/>
  <c r="G29" i="29"/>
  <c r="K29" i="29" s="1"/>
  <c r="AG95" i="1"/>
  <c r="AY95" i="1" s="1"/>
  <c r="AK95" i="1"/>
  <c r="BC95" i="1" s="1"/>
  <c r="AM95" i="1"/>
  <c r="BE95" i="1" s="1"/>
  <c r="AK98" i="1"/>
  <c r="AH98" i="1"/>
  <c r="AM98" i="1"/>
  <c r="AJ98" i="1"/>
  <c r="AI98" i="1"/>
  <c r="F17" i="29"/>
  <c r="F19" i="29"/>
  <c r="F21" i="29"/>
  <c r="F23" i="29"/>
  <c r="F32" i="29"/>
  <c r="F34" i="29"/>
  <c r="F47" i="29"/>
  <c r="F17" i="19"/>
  <c r="F19" i="19"/>
  <c r="F23" i="19"/>
  <c r="F25" i="19"/>
  <c r="F27" i="19"/>
  <c r="F29" i="19"/>
  <c r="F32" i="19"/>
  <c r="F36" i="19"/>
  <c r="F46" i="19"/>
  <c r="F48" i="19"/>
  <c r="F18" i="27"/>
  <c r="F20" i="27"/>
  <c r="F22" i="27"/>
  <c r="F24" i="27"/>
  <c r="F28" i="27"/>
  <c r="F31" i="27"/>
  <c r="F33" i="27"/>
  <c r="F35" i="27"/>
  <c r="F37" i="27"/>
  <c r="F46" i="27"/>
  <c r="F48" i="27"/>
  <c r="F21" i="24"/>
  <c r="F23" i="24"/>
  <c r="F25" i="24"/>
  <c r="F29" i="24"/>
  <c r="F34" i="24"/>
  <c r="F38" i="24"/>
  <c r="F47" i="24"/>
  <c r="F49" i="24"/>
  <c r="F20" i="21"/>
  <c r="F22" i="21"/>
  <c r="AH100" i="1"/>
  <c r="AL99" i="1"/>
  <c r="AF100" i="1"/>
  <c r="AJ100" i="1"/>
  <c r="AK99" i="1"/>
  <c r="AG100" i="1"/>
  <c r="AM99" i="1"/>
  <c r="P98" i="1"/>
  <c r="S98" i="1"/>
  <c r="O98" i="1"/>
  <c r="R98" i="1"/>
  <c r="Q98" i="1"/>
  <c r="T98" i="1"/>
  <c r="AA104" i="1"/>
  <c r="AD103" i="1"/>
  <c r="Y103" i="1"/>
  <c r="W103" i="1"/>
  <c r="K102" i="2"/>
  <c r="AB103" i="1"/>
  <c r="AA103" i="1"/>
  <c r="S93" i="1"/>
  <c r="BC93" i="1" s="1"/>
  <c r="R93" i="1"/>
  <c r="BB93" i="1" s="1"/>
  <c r="Q93" i="1"/>
  <c r="AC100" i="1"/>
  <c r="BD100" i="1" s="1"/>
  <c r="J11" i="15" s="1"/>
  <c r="AB100" i="1"/>
  <c r="BC100" i="1" s="1"/>
  <c r="I11" i="15" s="1"/>
  <c r="AA98" i="1"/>
  <c r="AB98" i="1"/>
  <c r="F19" i="24"/>
  <c r="Y100" i="1"/>
  <c r="AC99" i="1"/>
  <c r="W100" i="1"/>
  <c r="AA100" i="1"/>
  <c r="BL91" i="1"/>
  <c r="AB99" i="1"/>
  <c r="H9" i="9"/>
  <c r="H49" i="6"/>
  <c r="E52" i="6"/>
  <c r="E53" i="6" s="1"/>
  <c r="D52" i="6"/>
  <c r="D53" i="6" s="1"/>
  <c r="H57" i="42"/>
  <c r="C67" i="42"/>
  <c r="C42" i="6" s="1"/>
  <c r="C44" i="6" s="1"/>
  <c r="C65" i="42"/>
  <c r="F8" i="3"/>
  <c r="G8" i="3" s="1"/>
  <c r="F29" i="21"/>
  <c r="F31" i="9"/>
  <c r="H18" i="9"/>
  <c r="H28" i="9"/>
  <c r="H50" i="6"/>
  <c r="H51" i="6"/>
  <c r="G65" i="42"/>
  <c r="F64" i="19" l="1"/>
  <c r="BM26" i="1"/>
  <c r="L49" i="27"/>
  <c r="L39" i="27"/>
  <c r="L40" i="24"/>
  <c r="L41" i="21"/>
  <c r="L39" i="19"/>
  <c r="F67" i="24"/>
  <c r="M16" i="5"/>
  <c r="C24" i="44"/>
  <c r="L72" i="29"/>
  <c r="BJ24" i="1"/>
  <c r="E10" i="2"/>
  <c r="L10" i="2" s="1"/>
  <c r="O73" i="19"/>
  <c r="M73" i="19"/>
  <c r="N73" i="19"/>
  <c r="K73" i="19"/>
  <c r="K76" i="24"/>
  <c r="O76" i="24"/>
  <c r="M76" i="24"/>
  <c r="N76" i="24"/>
  <c r="K75" i="29"/>
  <c r="O75" i="29"/>
  <c r="M75" i="29"/>
  <c r="N75" i="29"/>
  <c r="X73" i="29"/>
  <c r="R73" i="29"/>
  <c r="M73" i="29"/>
  <c r="N73" i="29"/>
  <c r="V73" i="29"/>
  <c r="T73" i="29"/>
  <c r="K73" i="29"/>
  <c r="S73" i="29"/>
  <c r="U73" i="29"/>
  <c r="O73" i="29"/>
  <c r="W73" i="29"/>
  <c r="U73" i="27"/>
  <c r="N73" i="27"/>
  <c r="T73" i="27"/>
  <c r="V73" i="27"/>
  <c r="W73" i="27"/>
  <c r="S73" i="27"/>
  <c r="X73" i="27"/>
  <c r="O73" i="27"/>
  <c r="R73" i="27"/>
  <c r="M73" i="27"/>
  <c r="K73" i="27"/>
  <c r="BM24" i="1"/>
  <c r="BM25" i="1"/>
  <c r="F65" i="27"/>
  <c r="H36" i="6"/>
  <c r="T72" i="19"/>
  <c r="S72" i="19"/>
  <c r="L72" i="19" s="1"/>
  <c r="W72" i="19"/>
  <c r="R72" i="19"/>
  <c r="O72" i="19"/>
  <c r="N72" i="19"/>
  <c r="X72" i="19"/>
  <c r="U72" i="19"/>
  <c r="V72" i="19"/>
  <c r="M72" i="19"/>
  <c r="K72" i="19"/>
  <c r="U75" i="24"/>
  <c r="N75" i="24"/>
  <c r="V75" i="24"/>
  <c r="O75" i="24"/>
  <c r="W75" i="24"/>
  <c r="R75" i="24"/>
  <c r="X75" i="24"/>
  <c r="S75" i="24"/>
  <c r="T75" i="24"/>
  <c r="M75" i="24"/>
  <c r="K75" i="24"/>
  <c r="U74" i="29"/>
  <c r="M74" i="29"/>
  <c r="O74" i="29"/>
  <c r="T74" i="29"/>
  <c r="V74" i="29"/>
  <c r="X74" i="29"/>
  <c r="N74" i="29"/>
  <c r="R74" i="29"/>
  <c r="W74" i="29"/>
  <c r="S74" i="29"/>
  <c r="K74" i="29"/>
  <c r="T74" i="21"/>
  <c r="S74" i="21"/>
  <c r="V74" i="21"/>
  <c r="N74" i="21"/>
  <c r="W74" i="21"/>
  <c r="M74" i="21"/>
  <c r="R74" i="21"/>
  <c r="O74" i="21"/>
  <c r="X74" i="21"/>
  <c r="U74" i="21"/>
  <c r="K74" i="21"/>
  <c r="W73" i="19"/>
  <c r="F66" i="29"/>
  <c r="M70" i="19"/>
  <c r="N70" i="19"/>
  <c r="O70" i="19"/>
  <c r="N69" i="19"/>
  <c r="O69" i="19"/>
  <c r="M69" i="19"/>
  <c r="N72" i="29"/>
  <c r="O72" i="29"/>
  <c r="M72" i="29"/>
  <c r="N75" i="21"/>
  <c r="O75" i="21"/>
  <c r="K75" i="21"/>
  <c r="M75" i="21"/>
  <c r="F21" i="2"/>
  <c r="L70" i="19"/>
  <c r="F66" i="21"/>
  <c r="BJ26" i="1"/>
  <c r="BJ25" i="1"/>
  <c r="O71" i="19"/>
  <c r="S71" i="19"/>
  <c r="K71" i="19"/>
  <c r="T71" i="19"/>
  <c r="R71" i="19"/>
  <c r="V71" i="19"/>
  <c r="M71" i="19"/>
  <c r="W71" i="19"/>
  <c r="U71" i="19"/>
  <c r="X71" i="19"/>
  <c r="N71" i="19"/>
  <c r="O71" i="29"/>
  <c r="N71" i="29"/>
  <c r="M71" i="29"/>
  <c r="K74" i="27"/>
  <c r="N74" i="27"/>
  <c r="M74" i="27"/>
  <c r="O74" i="27"/>
  <c r="X72" i="27"/>
  <c r="R72" i="27"/>
  <c r="K72" i="27"/>
  <c r="W72" i="27"/>
  <c r="T72" i="27"/>
  <c r="N72" i="27"/>
  <c r="U72" i="27"/>
  <c r="O72" i="27"/>
  <c r="V72" i="27"/>
  <c r="M72" i="27"/>
  <c r="S72" i="27"/>
  <c r="M73" i="24"/>
  <c r="W71" i="21"/>
  <c r="M72" i="21"/>
  <c r="N72" i="24"/>
  <c r="X74" i="24"/>
  <c r="T74" i="24"/>
  <c r="N74" i="24"/>
  <c r="W74" i="24"/>
  <c r="S74" i="24"/>
  <c r="O74" i="24"/>
  <c r="V74" i="24"/>
  <c r="R74" i="24"/>
  <c r="U74" i="24"/>
  <c r="M74" i="24"/>
  <c r="V73" i="21"/>
  <c r="S73" i="21"/>
  <c r="W73" i="21"/>
  <c r="M73" i="21"/>
  <c r="U73" i="21"/>
  <c r="T73" i="21"/>
  <c r="N73" i="21"/>
  <c r="X73" i="21"/>
  <c r="R73" i="21"/>
  <c r="O73" i="21"/>
  <c r="AZ100" i="1"/>
  <c r="E11" i="15" s="1"/>
  <c r="BB100" i="1"/>
  <c r="G11" i="15" s="1"/>
  <c r="L32" i="15"/>
  <c r="K118" i="24"/>
  <c r="I13" i="1" s="1"/>
  <c r="U13" i="1" s="1"/>
  <c r="E21" i="2"/>
  <c r="O115" i="24"/>
  <c r="M11" i="1" s="1"/>
  <c r="AQ11" i="1" s="1"/>
  <c r="O117" i="24"/>
  <c r="K117" i="24"/>
  <c r="O118" i="24"/>
  <c r="M13" i="1" s="1"/>
  <c r="AO13" i="1" s="1"/>
  <c r="K115" i="24"/>
  <c r="I11" i="1" s="1"/>
  <c r="BK100" i="1"/>
  <c r="M62" i="29"/>
  <c r="M62" i="21"/>
  <c r="L26" i="21"/>
  <c r="BK103" i="1"/>
  <c r="BJ98" i="1"/>
  <c r="AX100" i="1"/>
  <c r="C11" i="15" s="1"/>
  <c r="BK98" i="1"/>
  <c r="AY100" i="1"/>
  <c r="D11" i="15" s="1"/>
  <c r="BM95" i="1"/>
  <c r="BA93" i="1"/>
  <c r="BA99" i="1"/>
  <c r="F10" i="15" s="1"/>
  <c r="AI100" i="1"/>
  <c r="BA100" i="1" s="1"/>
  <c r="F11" i="15" s="1"/>
  <c r="N74" i="2"/>
  <c r="N52" i="2"/>
  <c r="J52" i="2"/>
  <c r="N63" i="2"/>
  <c r="J63" i="2"/>
  <c r="M63" i="24"/>
  <c r="M60" i="19"/>
  <c r="M61" i="27"/>
  <c r="G53" i="42"/>
  <c r="G60" i="6"/>
  <c r="G62" i="6" s="1"/>
  <c r="Q69" i="17"/>
  <c r="E53" i="4"/>
  <c r="G53" i="4"/>
  <c r="C53" i="4"/>
  <c r="D53" i="42"/>
  <c r="L27" i="19"/>
  <c r="L24" i="27"/>
  <c r="L11" i="27"/>
  <c r="P11" i="27" s="1"/>
  <c r="L25" i="27"/>
  <c r="L79" i="19"/>
  <c r="U91" i="21"/>
  <c r="W91" i="21"/>
  <c r="L59" i="29"/>
  <c r="P59" i="29" s="1"/>
  <c r="BE98" i="1"/>
  <c r="K9" i="15" s="1"/>
  <c r="H57" i="6"/>
  <c r="L37" i="19"/>
  <c r="L22" i="27"/>
  <c r="M46" i="13"/>
  <c r="AG97" i="1"/>
  <c r="AY97" i="1" s="1"/>
  <c r="D8" i="15" s="1"/>
  <c r="V91" i="21"/>
  <c r="T38" i="17"/>
  <c r="D53" i="4"/>
  <c r="F53" i="4"/>
  <c r="M12" i="5"/>
  <c r="Q104" i="17"/>
  <c r="L41" i="27"/>
  <c r="L42" i="27"/>
  <c r="L41" i="19"/>
  <c r="L42" i="29"/>
  <c r="L41" i="29"/>
  <c r="D45" i="6"/>
  <c r="C45" i="6"/>
  <c r="D29" i="12"/>
  <c r="D30" i="12" s="1"/>
  <c r="D37" i="6"/>
  <c r="D38" i="6" s="1"/>
  <c r="C7" i="44"/>
  <c r="L21" i="24"/>
  <c r="L42" i="24"/>
  <c r="L43" i="24"/>
  <c r="L39" i="24"/>
  <c r="L11" i="29"/>
  <c r="P11" i="29" s="1"/>
  <c r="L35" i="29"/>
  <c r="L30" i="29"/>
  <c r="L54" i="19"/>
  <c r="L13" i="19"/>
  <c r="P13" i="19" s="1"/>
  <c r="L19" i="19"/>
  <c r="L38" i="27"/>
  <c r="R96" i="17"/>
  <c r="L60" i="24"/>
  <c r="P60" i="24" s="1"/>
  <c r="X91" i="21"/>
  <c r="S91" i="21"/>
  <c r="T91" i="21"/>
  <c r="L43" i="21"/>
  <c r="L44" i="21"/>
  <c r="Q87" i="17"/>
  <c r="D42" i="13"/>
  <c r="S105" i="17"/>
  <c r="L30" i="19"/>
  <c r="L33" i="19"/>
  <c r="L24" i="19"/>
  <c r="L36" i="27"/>
  <c r="L19" i="24"/>
  <c r="L51" i="29"/>
  <c r="L11" i="19"/>
  <c r="P11" i="19" s="1"/>
  <c r="L45" i="19"/>
  <c r="L25" i="19"/>
  <c r="L46" i="29"/>
  <c r="L54" i="29"/>
  <c r="L17" i="29"/>
  <c r="L53" i="19"/>
  <c r="L34" i="19"/>
  <c r="L48" i="19"/>
  <c r="L23" i="19"/>
  <c r="H46" i="42"/>
  <c r="L22" i="19"/>
  <c r="E31" i="12"/>
  <c r="H77" i="12"/>
  <c r="C29" i="12"/>
  <c r="C30" i="12" s="1"/>
  <c r="H52" i="4"/>
  <c r="H59" i="4"/>
  <c r="H27" i="12"/>
  <c r="H31" i="12" s="1"/>
  <c r="E42" i="13"/>
  <c r="F42" i="13"/>
  <c r="L27" i="24"/>
  <c r="L18" i="27"/>
  <c r="L34" i="29"/>
  <c r="L21" i="29"/>
  <c r="L55" i="24"/>
  <c r="L13" i="27"/>
  <c r="P13" i="27" s="1"/>
  <c r="L11" i="24"/>
  <c r="P11" i="24" s="1"/>
  <c r="L41" i="24"/>
  <c r="L47" i="27"/>
  <c r="F53" i="42"/>
  <c r="C53" i="42"/>
  <c r="G29" i="19"/>
  <c r="K29" i="19" s="1"/>
  <c r="R9" i="4"/>
  <c r="L18" i="24"/>
  <c r="L46" i="24"/>
  <c r="L47" i="24"/>
  <c r="L52" i="24"/>
  <c r="L35" i="24"/>
  <c r="L29" i="27"/>
  <c r="L33" i="27"/>
  <c r="L19" i="27"/>
  <c r="L21" i="27"/>
  <c r="L12" i="19"/>
  <c r="P12" i="19" s="1"/>
  <c r="L46" i="19"/>
  <c r="L26" i="19"/>
  <c r="L21" i="19"/>
  <c r="L53" i="29"/>
  <c r="L29" i="29"/>
  <c r="L33" i="29"/>
  <c r="L56" i="29"/>
  <c r="H41" i="12"/>
  <c r="H43" i="12" s="1"/>
  <c r="H44" i="12" s="1"/>
  <c r="L80" i="19"/>
  <c r="G29" i="12"/>
  <c r="G30" i="12" s="1"/>
  <c r="G31" i="12"/>
  <c r="L32" i="24"/>
  <c r="L55" i="27"/>
  <c r="G29" i="27"/>
  <c r="K29" i="27" s="1"/>
  <c r="L37" i="24"/>
  <c r="L40" i="27"/>
  <c r="H58" i="4"/>
  <c r="L54" i="24"/>
  <c r="L57" i="27"/>
  <c r="V93" i="29"/>
  <c r="H67" i="42"/>
  <c r="T96" i="17"/>
  <c r="L51" i="24"/>
  <c r="L17" i="24"/>
  <c r="L36" i="24"/>
  <c r="L25" i="24"/>
  <c r="L50" i="24"/>
  <c r="L10" i="27"/>
  <c r="P10" i="27" s="1"/>
  <c r="L28" i="27"/>
  <c r="L48" i="27"/>
  <c r="L29" i="19"/>
  <c r="L28" i="19"/>
  <c r="L25" i="29"/>
  <c r="L55" i="29"/>
  <c r="L38" i="29"/>
  <c r="L27" i="29"/>
  <c r="L48" i="29"/>
  <c r="G25" i="24"/>
  <c r="K25" i="24" s="1"/>
  <c r="G24" i="27"/>
  <c r="K24" i="27" s="1"/>
  <c r="G24" i="19"/>
  <c r="K24" i="19" s="1"/>
  <c r="G25" i="21"/>
  <c r="K25" i="21" s="1"/>
  <c r="G24" i="29"/>
  <c r="K24" i="29" s="1"/>
  <c r="L58" i="24"/>
  <c r="L26" i="27"/>
  <c r="L47" i="29"/>
  <c r="F31" i="12"/>
  <c r="F29" i="12"/>
  <c r="F30" i="12" s="1"/>
  <c r="L31" i="24"/>
  <c r="L46" i="27"/>
  <c r="L26" i="29"/>
  <c r="E53" i="42"/>
  <c r="L29" i="24"/>
  <c r="L10" i="24"/>
  <c r="P10" i="24" s="1"/>
  <c r="L73" i="24"/>
  <c r="L32" i="27"/>
  <c r="L80" i="27"/>
  <c r="L27" i="27"/>
  <c r="L20" i="27"/>
  <c r="L56" i="19"/>
  <c r="L7" i="19"/>
  <c r="P7" i="19" s="1"/>
  <c r="L32" i="19"/>
  <c r="L38" i="19"/>
  <c r="L45" i="29"/>
  <c r="L13" i="29"/>
  <c r="P13" i="29" s="1"/>
  <c r="L37" i="29"/>
  <c r="L23" i="29"/>
  <c r="L36" i="29"/>
  <c r="G36" i="24"/>
  <c r="K36" i="24" s="1"/>
  <c r="L12" i="24"/>
  <c r="P12" i="24" s="1"/>
  <c r="L45" i="27"/>
  <c r="L24" i="29"/>
  <c r="L10" i="29"/>
  <c r="P10" i="29" s="1"/>
  <c r="L57" i="29"/>
  <c r="H45" i="42"/>
  <c r="L26" i="24"/>
  <c r="L57" i="24"/>
  <c r="L35" i="27"/>
  <c r="L7" i="27"/>
  <c r="P7" i="27" s="1"/>
  <c r="L19" i="29"/>
  <c r="L81" i="29"/>
  <c r="L32" i="29"/>
  <c r="R88" i="24"/>
  <c r="L7" i="24"/>
  <c r="L33" i="24"/>
  <c r="L54" i="27"/>
  <c r="L52" i="27"/>
  <c r="L23" i="27"/>
  <c r="L55" i="19"/>
  <c r="L51" i="19"/>
  <c r="L40" i="29"/>
  <c r="L12" i="29"/>
  <c r="P12" i="29" s="1"/>
  <c r="L20" i="29"/>
  <c r="L22" i="29"/>
  <c r="L18" i="29"/>
  <c r="L50" i="29"/>
  <c r="L40" i="19"/>
  <c r="E60" i="6"/>
  <c r="E62" i="6" s="1"/>
  <c r="F60" i="6"/>
  <c r="F62" i="6" s="1"/>
  <c r="G42" i="6"/>
  <c r="G44" i="6" s="1"/>
  <c r="G45" i="6" s="1"/>
  <c r="H65" i="42"/>
  <c r="AJ102" i="1"/>
  <c r="U88" i="24"/>
  <c r="W88" i="24"/>
  <c r="L31" i="29"/>
  <c r="H41" i="42"/>
  <c r="AH102" i="1"/>
  <c r="X80" i="21"/>
  <c r="J34" i="15"/>
  <c r="L7" i="29"/>
  <c r="P7" i="29" s="1"/>
  <c r="L82" i="29"/>
  <c r="E30" i="5"/>
  <c r="E31" i="5"/>
  <c r="E33" i="5"/>
  <c r="E29" i="5"/>
  <c r="E28" i="5"/>
  <c r="E26" i="5"/>
  <c r="E24" i="5"/>
  <c r="E23" i="5"/>
  <c r="E27" i="5"/>
  <c r="G10" i="3"/>
  <c r="F25" i="5" s="1"/>
  <c r="E25" i="5"/>
  <c r="L82" i="21"/>
  <c r="L32" i="21"/>
  <c r="L42" i="21"/>
  <c r="L27" i="21"/>
  <c r="L52" i="21"/>
  <c r="L58" i="21"/>
  <c r="L50" i="21"/>
  <c r="L21" i="21"/>
  <c r="L59" i="21"/>
  <c r="L22" i="21"/>
  <c r="L12" i="21"/>
  <c r="P12" i="21" s="1"/>
  <c r="L11" i="21"/>
  <c r="P11" i="21" s="1"/>
  <c r="L34" i="21"/>
  <c r="L72" i="21"/>
  <c r="L35" i="21"/>
  <c r="L24" i="21"/>
  <c r="L48" i="21"/>
  <c r="L53" i="21"/>
  <c r="L29" i="21"/>
  <c r="L19" i="21"/>
  <c r="L47" i="21"/>
  <c r="L25" i="21"/>
  <c r="L13" i="21"/>
  <c r="P13" i="21" s="1"/>
  <c r="L49" i="21"/>
  <c r="L17" i="21"/>
  <c r="L33" i="21"/>
  <c r="L20" i="21"/>
  <c r="L31" i="21"/>
  <c r="L7" i="21"/>
  <c r="L40" i="21"/>
  <c r="L55" i="21"/>
  <c r="L38" i="21"/>
  <c r="L57" i="21"/>
  <c r="L51" i="21"/>
  <c r="L39" i="21"/>
  <c r="L10" i="21"/>
  <c r="P10" i="21" s="1"/>
  <c r="L30" i="21"/>
  <c r="L37" i="21"/>
  <c r="L36" i="21"/>
  <c r="L81" i="21"/>
  <c r="L23" i="21"/>
  <c r="L28" i="21"/>
  <c r="L18" i="21"/>
  <c r="L56" i="21"/>
  <c r="L82" i="24"/>
  <c r="L49" i="24"/>
  <c r="L30" i="24"/>
  <c r="L34" i="24"/>
  <c r="L48" i="24"/>
  <c r="L24" i="24"/>
  <c r="L13" i="24"/>
  <c r="P13" i="24" s="1"/>
  <c r="L20" i="24"/>
  <c r="L23" i="24"/>
  <c r="L56" i="24"/>
  <c r="L22" i="24"/>
  <c r="L28" i="24"/>
  <c r="L49" i="29"/>
  <c r="G37" i="6"/>
  <c r="G38" i="6" s="1"/>
  <c r="H35" i="6"/>
  <c r="S7" i="4"/>
  <c r="S8" i="4" s="1"/>
  <c r="D17" i="44" s="1"/>
  <c r="D24" i="44" s="1"/>
  <c r="F38" i="3"/>
  <c r="G38" i="3" s="1"/>
  <c r="H38" i="3" s="1"/>
  <c r="D34" i="5"/>
  <c r="D35" i="5" s="1"/>
  <c r="G26" i="29"/>
  <c r="K26" i="29" s="1"/>
  <c r="G26" i="27"/>
  <c r="K26" i="27" s="1"/>
  <c r="G27" i="24"/>
  <c r="K27" i="24" s="1"/>
  <c r="H49" i="42"/>
  <c r="G54" i="19"/>
  <c r="K54" i="19" s="1"/>
  <c r="I34" i="15"/>
  <c r="L81" i="27"/>
  <c r="L71" i="27"/>
  <c r="L12" i="27"/>
  <c r="P12" i="27" s="1"/>
  <c r="L51" i="27"/>
  <c r="L17" i="27"/>
  <c r="L58" i="27"/>
  <c r="L30" i="27"/>
  <c r="L37" i="27"/>
  <c r="L56" i="27"/>
  <c r="L31" i="27"/>
  <c r="L50" i="27"/>
  <c r="L34" i="27"/>
  <c r="L83" i="24"/>
  <c r="L35" i="19"/>
  <c r="L36" i="19"/>
  <c r="L49" i="19"/>
  <c r="L31" i="19"/>
  <c r="L47" i="19"/>
  <c r="L17" i="19"/>
  <c r="L57" i="19"/>
  <c r="L20" i="19"/>
  <c r="L50" i="19"/>
  <c r="L10" i="19"/>
  <c r="P10" i="19" s="1"/>
  <c r="L18" i="19"/>
  <c r="L28" i="29"/>
  <c r="L38" i="24"/>
  <c r="V91" i="27"/>
  <c r="U85" i="19"/>
  <c r="O91" i="27"/>
  <c r="S91" i="27"/>
  <c r="T91" i="27"/>
  <c r="W91" i="27"/>
  <c r="U91" i="27"/>
  <c r="X91" i="27"/>
  <c r="S93" i="29"/>
  <c r="N93" i="29"/>
  <c r="W93" i="29"/>
  <c r="X93" i="29"/>
  <c r="U93" i="29"/>
  <c r="AY132" i="1"/>
  <c r="E19" i="13" s="1"/>
  <c r="AX132" i="1"/>
  <c r="D19" i="13" s="1"/>
  <c r="BD132" i="1"/>
  <c r="K19" i="13" s="1"/>
  <c r="K65" i="13" s="1"/>
  <c r="J11" i="4" s="1"/>
  <c r="G42" i="13"/>
  <c r="H42" i="13"/>
  <c r="BB132" i="1"/>
  <c r="H19" i="13" s="1"/>
  <c r="AZ132" i="1"/>
  <c r="F19" i="13" s="1"/>
  <c r="BC132" i="1"/>
  <c r="J19" i="13" s="1"/>
  <c r="J65" i="13" s="1"/>
  <c r="I11" i="4" s="1"/>
  <c r="BE132" i="1"/>
  <c r="L19" i="13" s="1"/>
  <c r="L65" i="13" s="1"/>
  <c r="K11" i="4" s="1"/>
  <c r="BA132" i="1"/>
  <c r="G19" i="13" s="1"/>
  <c r="BA98" i="1"/>
  <c r="F9" i="15" s="1"/>
  <c r="AZ98" i="1"/>
  <c r="E9" i="15" s="1"/>
  <c r="BE99" i="1"/>
  <c r="K10" i="15" s="1"/>
  <c r="V85" i="19"/>
  <c r="X85" i="19"/>
  <c r="V68" i="19"/>
  <c r="X64" i="19"/>
  <c r="S67" i="24"/>
  <c r="W90" i="24"/>
  <c r="W90" i="27"/>
  <c r="T80" i="21"/>
  <c r="S80" i="21"/>
  <c r="R90" i="24"/>
  <c r="S85" i="21"/>
  <c r="V80" i="21"/>
  <c r="R80" i="21"/>
  <c r="Q85" i="17"/>
  <c r="Q70" i="17"/>
  <c r="R67" i="17"/>
  <c r="T84" i="19"/>
  <c r="U86" i="21"/>
  <c r="X88" i="24"/>
  <c r="U83" i="17"/>
  <c r="T86" i="21"/>
  <c r="M84" i="19"/>
  <c r="T95" i="17"/>
  <c r="T71" i="24"/>
  <c r="T83" i="17"/>
  <c r="R76" i="19"/>
  <c r="V86" i="21"/>
  <c r="R84" i="19"/>
  <c r="X86" i="21"/>
  <c r="M86" i="21"/>
  <c r="U84" i="19"/>
  <c r="U90" i="19"/>
  <c r="W86" i="21"/>
  <c r="R71" i="24"/>
  <c r="V88" i="24"/>
  <c r="V71" i="24"/>
  <c r="S86" i="21"/>
  <c r="R70" i="17"/>
  <c r="S71" i="24"/>
  <c r="R79" i="21"/>
  <c r="S84" i="19"/>
  <c r="Q95" i="17"/>
  <c r="X84" i="19"/>
  <c r="S88" i="24"/>
  <c r="V67" i="24"/>
  <c r="T67" i="24"/>
  <c r="W85" i="21"/>
  <c r="W80" i="21"/>
  <c r="W85" i="27"/>
  <c r="M67" i="24"/>
  <c r="R68" i="19"/>
  <c r="V86" i="27"/>
  <c r="W67" i="24"/>
  <c r="V84" i="19"/>
  <c r="X67" i="24"/>
  <c r="U67" i="24"/>
  <c r="W90" i="21"/>
  <c r="M64" i="19"/>
  <c r="S90" i="27"/>
  <c r="Q68" i="17"/>
  <c r="M65" i="27"/>
  <c r="W68" i="19"/>
  <c r="S65" i="27"/>
  <c r="T70" i="17"/>
  <c r="U64" i="19"/>
  <c r="W78" i="29"/>
  <c r="T78" i="29"/>
  <c r="V78" i="29"/>
  <c r="R86" i="27"/>
  <c r="X78" i="29"/>
  <c r="T102" i="17"/>
  <c r="K90" i="27"/>
  <c r="M71" i="24"/>
  <c r="T85" i="19"/>
  <c r="U71" i="24"/>
  <c r="R85" i="19"/>
  <c r="M68" i="19"/>
  <c r="V64" i="19"/>
  <c r="R78" i="21"/>
  <c r="V92" i="21"/>
  <c r="U78" i="29"/>
  <c r="S78" i="29"/>
  <c r="S85" i="19"/>
  <c r="X71" i="24"/>
  <c r="M85" i="27"/>
  <c r="V90" i="27"/>
  <c r="S104" i="17"/>
  <c r="X85" i="27"/>
  <c r="W86" i="27"/>
  <c r="S96" i="17"/>
  <c r="T90" i="27"/>
  <c r="R85" i="27"/>
  <c r="X86" i="27"/>
  <c r="S86" i="27"/>
  <c r="W65" i="27"/>
  <c r="U90" i="27"/>
  <c r="U86" i="27"/>
  <c r="X90" i="27"/>
  <c r="R65" i="27"/>
  <c r="S90" i="29"/>
  <c r="S71" i="21"/>
  <c r="X90" i="29"/>
  <c r="W79" i="21"/>
  <c r="T68" i="17"/>
  <c r="T74" i="27"/>
  <c r="W92" i="21"/>
  <c r="R87" i="21"/>
  <c r="W64" i="19"/>
  <c r="X65" i="27"/>
  <c r="T89" i="21"/>
  <c r="N90" i="19"/>
  <c r="U79" i="21"/>
  <c r="X87" i="21"/>
  <c r="U71" i="29"/>
  <c r="U71" i="21"/>
  <c r="T87" i="19"/>
  <c r="U90" i="29"/>
  <c r="M90" i="29"/>
  <c r="X78" i="21"/>
  <c r="U92" i="21"/>
  <c r="Q105" i="17"/>
  <c r="U87" i="21"/>
  <c r="W87" i="21"/>
  <c r="R70" i="21"/>
  <c r="W78" i="21"/>
  <c r="U88" i="27"/>
  <c r="R87" i="19"/>
  <c r="U102" i="17"/>
  <c r="R90" i="29"/>
  <c r="X91" i="24"/>
  <c r="U88" i="19"/>
  <c r="N87" i="19"/>
  <c r="S73" i="19"/>
  <c r="X76" i="19"/>
  <c r="X74" i="27"/>
  <c r="Q83" i="17"/>
  <c r="T92" i="21"/>
  <c r="T87" i="21"/>
  <c r="Q96" i="17"/>
  <c r="M70" i="21"/>
  <c r="S70" i="21"/>
  <c r="U65" i="27"/>
  <c r="W90" i="29"/>
  <c r="W70" i="21"/>
  <c r="V76" i="19"/>
  <c r="S78" i="21"/>
  <c r="U74" i="27"/>
  <c r="X70" i="21"/>
  <c r="W88" i="27"/>
  <c r="V87" i="19"/>
  <c r="T90" i="29"/>
  <c r="S91" i="24"/>
  <c r="S74" i="27"/>
  <c r="T84" i="21"/>
  <c r="S87" i="21"/>
  <c r="V93" i="24"/>
  <c r="U70" i="21"/>
  <c r="V71" i="29"/>
  <c r="T71" i="29"/>
  <c r="W90" i="19"/>
  <c r="S102" i="17"/>
  <c r="O89" i="27"/>
  <c r="S90" i="19"/>
  <c r="M93" i="29"/>
  <c r="X93" i="24"/>
  <c r="T93" i="29"/>
  <c r="R73" i="19"/>
  <c r="X71" i="29"/>
  <c r="U68" i="19"/>
  <c r="T68" i="19"/>
  <c r="S93" i="24"/>
  <c r="X90" i="19"/>
  <c r="O90" i="19"/>
  <c r="T105" i="17"/>
  <c r="M88" i="27"/>
  <c r="S88" i="27"/>
  <c r="X88" i="27"/>
  <c r="M87" i="24"/>
  <c r="U73" i="19"/>
  <c r="U67" i="17"/>
  <c r="R64" i="19"/>
  <c r="W71" i="29"/>
  <c r="T71" i="21"/>
  <c r="W93" i="24"/>
  <c r="R93" i="29"/>
  <c r="R68" i="17"/>
  <c r="S64" i="19"/>
  <c r="X68" i="19"/>
  <c r="T65" i="27"/>
  <c r="R90" i="19"/>
  <c r="T90" i="19"/>
  <c r="X73" i="19"/>
  <c r="V73" i="19"/>
  <c r="R105" i="17"/>
  <c r="R88" i="27"/>
  <c r="R93" i="24"/>
  <c r="T73" i="19"/>
  <c r="R71" i="29"/>
  <c r="U69" i="17"/>
  <c r="T93" i="24"/>
  <c r="V88" i="27"/>
  <c r="S87" i="29"/>
  <c r="X87" i="29"/>
  <c r="U84" i="21"/>
  <c r="X84" i="21"/>
  <c r="W70" i="27"/>
  <c r="T70" i="27"/>
  <c r="U70" i="27"/>
  <c r="X70" i="27"/>
  <c r="R69" i="27"/>
  <c r="M69" i="27"/>
  <c r="T69" i="27"/>
  <c r="S29" i="17"/>
  <c r="U90" i="21"/>
  <c r="N90" i="21"/>
  <c r="S89" i="27"/>
  <c r="V69" i="27"/>
  <c r="W69" i="27"/>
  <c r="X75" i="21"/>
  <c r="W75" i="21"/>
  <c r="S75" i="21"/>
  <c r="T75" i="21"/>
  <c r="R75" i="21"/>
  <c r="U75" i="21"/>
  <c r="S83" i="17"/>
  <c r="U77" i="27"/>
  <c r="S77" i="27"/>
  <c r="X77" i="27"/>
  <c r="V77" i="27"/>
  <c r="T77" i="27"/>
  <c r="W77" i="27"/>
  <c r="R77" i="27"/>
  <c r="Q29" i="17"/>
  <c r="Q103" i="17"/>
  <c r="R89" i="27"/>
  <c r="W89" i="27"/>
  <c r="O90" i="21"/>
  <c r="M87" i="29"/>
  <c r="V75" i="21"/>
  <c r="W87" i="29"/>
  <c r="U95" i="17"/>
  <c r="S84" i="21"/>
  <c r="N70" i="27"/>
  <c r="U69" i="27"/>
  <c r="T70" i="21"/>
  <c r="X71" i="21"/>
  <c r="V71" i="21"/>
  <c r="R71" i="21"/>
  <c r="N71" i="21"/>
  <c r="T79" i="21"/>
  <c r="V79" i="21"/>
  <c r="Q84" i="17"/>
  <c r="X79" i="21"/>
  <c r="U66" i="29"/>
  <c r="X66" i="29"/>
  <c r="W66" i="29"/>
  <c r="T66" i="29"/>
  <c r="V66" i="29"/>
  <c r="S66" i="29"/>
  <c r="R66" i="29"/>
  <c r="U75" i="29"/>
  <c r="W75" i="29"/>
  <c r="S75" i="29"/>
  <c r="R75" i="29"/>
  <c r="V75" i="29"/>
  <c r="X75" i="29"/>
  <c r="T75" i="29"/>
  <c r="S70" i="29"/>
  <c r="V70" i="29"/>
  <c r="U70" i="17"/>
  <c r="X70" i="29"/>
  <c r="W70" i="29"/>
  <c r="T70" i="29"/>
  <c r="U70" i="29"/>
  <c r="R70" i="29"/>
  <c r="R83" i="17"/>
  <c r="U79" i="24"/>
  <c r="S79" i="24"/>
  <c r="X79" i="24"/>
  <c r="V79" i="24"/>
  <c r="T79" i="24"/>
  <c r="R79" i="24"/>
  <c r="W79" i="24"/>
  <c r="V90" i="21"/>
  <c r="R90" i="21"/>
  <c r="X72" i="24"/>
  <c r="S72" i="24"/>
  <c r="R72" i="24"/>
  <c r="U72" i="24"/>
  <c r="T72" i="24"/>
  <c r="W72" i="24"/>
  <c r="V72" i="24"/>
  <c r="S69" i="17"/>
  <c r="R87" i="29"/>
  <c r="T87" i="29"/>
  <c r="V70" i="27"/>
  <c r="R84" i="21"/>
  <c r="S87" i="24"/>
  <c r="T87" i="24"/>
  <c r="R87" i="24"/>
  <c r="X87" i="24"/>
  <c r="U87" i="24"/>
  <c r="W87" i="24"/>
  <c r="V87" i="24"/>
  <c r="S90" i="21"/>
  <c r="X90" i="21"/>
  <c r="M84" i="21"/>
  <c r="S58" i="2" s="1"/>
  <c r="R69" i="17"/>
  <c r="T69" i="17"/>
  <c r="U87" i="29"/>
  <c r="W84" i="21"/>
  <c r="V84" i="21"/>
  <c r="R70" i="27"/>
  <c r="Q67" i="17"/>
  <c r="S69" i="27"/>
  <c r="S70" i="17"/>
  <c r="S95" i="17"/>
  <c r="T85" i="27"/>
  <c r="U85" i="27"/>
  <c r="S85" i="27"/>
  <c r="R92" i="21"/>
  <c r="X92" i="21"/>
  <c r="U69" i="19"/>
  <c r="W69" i="19"/>
  <c r="X69" i="19"/>
  <c r="T69" i="19"/>
  <c r="S69" i="19"/>
  <c r="V69" i="19"/>
  <c r="R69" i="19"/>
  <c r="S67" i="17"/>
  <c r="R74" i="27"/>
  <c r="W74" i="27"/>
  <c r="X85" i="21"/>
  <c r="U85" i="21"/>
  <c r="V85" i="21"/>
  <c r="T85" i="21"/>
  <c r="R85" i="21"/>
  <c r="X66" i="21"/>
  <c r="U66" i="21"/>
  <c r="T66" i="21"/>
  <c r="V66" i="21"/>
  <c r="R66" i="21"/>
  <c r="W66" i="21"/>
  <c r="S66" i="21"/>
  <c r="V78" i="21"/>
  <c r="T78" i="21"/>
  <c r="U78" i="21"/>
  <c r="U76" i="19"/>
  <c r="W76" i="19"/>
  <c r="S76" i="19"/>
  <c r="T76" i="19"/>
  <c r="W82" i="19"/>
  <c r="S82" i="19"/>
  <c r="U82" i="19"/>
  <c r="X82" i="19"/>
  <c r="T82" i="19"/>
  <c r="R82" i="19"/>
  <c r="T93" i="17"/>
  <c r="V82" i="19"/>
  <c r="S84" i="17"/>
  <c r="V78" i="27"/>
  <c r="W78" i="27"/>
  <c r="R78" i="27"/>
  <c r="S78" i="27"/>
  <c r="X78" i="27"/>
  <c r="T78" i="27"/>
  <c r="U78" i="27"/>
  <c r="V90" i="24"/>
  <c r="T90" i="24"/>
  <c r="U94" i="17"/>
  <c r="W86" i="29"/>
  <c r="U86" i="29"/>
  <c r="T86" i="29"/>
  <c r="X86" i="29"/>
  <c r="V86" i="29"/>
  <c r="S86" i="29"/>
  <c r="R86" i="29"/>
  <c r="U104" i="17"/>
  <c r="U92" i="29"/>
  <c r="X92" i="29"/>
  <c r="W92" i="29"/>
  <c r="V92" i="29"/>
  <c r="T92" i="29"/>
  <c r="S92" i="29"/>
  <c r="R92" i="29"/>
  <c r="T94" i="17"/>
  <c r="R83" i="19"/>
  <c r="S83" i="19"/>
  <c r="W83" i="19"/>
  <c r="U83" i="19"/>
  <c r="T83" i="19"/>
  <c r="X83" i="19"/>
  <c r="V83" i="19"/>
  <c r="U90" i="24"/>
  <c r="S90" i="24"/>
  <c r="U87" i="19"/>
  <c r="W87" i="19"/>
  <c r="S93" i="17"/>
  <c r="V83" i="27"/>
  <c r="W83" i="27"/>
  <c r="U83" i="27"/>
  <c r="R83" i="27"/>
  <c r="X83" i="27"/>
  <c r="S83" i="27"/>
  <c r="T83" i="27"/>
  <c r="M83" i="27"/>
  <c r="S60" i="2" s="1"/>
  <c r="S94" i="17"/>
  <c r="W84" i="27"/>
  <c r="R84" i="27"/>
  <c r="V84" i="27"/>
  <c r="X84" i="27"/>
  <c r="U84" i="27"/>
  <c r="S84" i="27"/>
  <c r="T84" i="27"/>
  <c r="R104" i="17"/>
  <c r="W92" i="24"/>
  <c r="X92" i="24"/>
  <c r="T92" i="24"/>
  <c r="R92" i="24"/>
  <c r="V92" i="24"/>
  <c r="U92" i="24"/>
  <c r="S92" i="24"/>
  <c r="U80" i="29"/>
  <c r="X80" i="29"/>
  <c r="T80" i="29"/>
  <c r="R80" i="29"/>
  <c r="W80" i="29"/>
  <c r="V80" i="29"/>
  <c r="U85" i="17"/>
  <c r="S80" i="29"/>
  <c r="T80" i="24"/>
  <c r="U80" i="24"/>
  <c r="S80" i="24"/>
  <c r="W80" i="24"/>
  <c r="R84" i="17"/>
  <c r="R80" i="24"/>
  <c r="V80" i="24"/>
  <c r="X80" i="24"/>
  <c r="R93" i="17"/>
  <c r="R85" i="24"/>
  <c r="V85" i="24"/>
  <c r="X85" i="24"/>
  <c r="S85" i="24"/>
  <c r="U85" i="24"/>
  <c r="M85" i="24"/>
  <c r="S59" i="2" s="1"/>
  <c r="T85" i="24"/>
  <c r="W85" i="24"/>
  <c r="T67" i="17"/>
  <c r="V85" i="29"/>
  <c r="T85" i="29"/>
  <c r="U93" i="17"/>
  <c r="X85" i="29"/>
  <c r="R85" i="29"/>
  <c r="S85" i="29"/>
  <c r="U85" i="29"/>
  <c r="W85" i="29"/>
  <c r="R91" i="29"/>
  <c r="V91" i="29"/>
  <c r="W91" i="29"/>
  <c r="U91" i="29"/>
  <c r="S91" i="29"/>
  <c r="U88" i="29"/>
  <c r="W88" i="29"/>
  <c r="V88" i="29"/>
  <c r="X88" i="29"/>
  <c r="S88" i="29"/>
  <c r="U96" i="17"/>
  <c r="R88" i="29"/>
  <c r="T88" i="29"/>
  <c r="T104" i="17"/>
  <c r="X89" i="19"/>
  <c r="S89" i="19"/>
  <c r="R89" i="19"/>
  <c r="V89" i="19"/>
  <c r="W89" i="19"/>
  <c r="T89" i="19"/>
  <c r="U89" i="19"/>
  <c r="T77" i="19"/>
  <c r="U77" i="19"/>
  <c r="T84" i="17"/>
  <c r="V77" i="19"/>
  <c r="X77" i="19"/>
  <c r="W77" i="19"/>
  <c r="S77" i="19"/>
  <c r="R77" i="19"/>
  <c r="R94" i="17"/>
  <c r="U86" i="24"/>
  <c r="T86" i="24"/>
  <c r="W86" i="24"/>
  <c r="X86" i="24"/>
  <c r="R86" i="24"/>
  <c r="V86" i="24"/>
  <c r="S86" i="24"/>
  <c r="T91" i="29"/>
  <c r="M85" i="29"/>
  <c r="S62" i="2" s="1"/>
  <c r="M82" i="19"/>
  <c r="S61" i="2" s="1"/>
  <c r="X89" i="21"/>
  <c r="R89" i="21"/>
  <c r="S89" i="21"/>
  <c r="V89" i="21"/>
  <c r="U89" i="21"/>
  <c r="V79" i="29"/>
  <c r="W79" i="29"/>
  <c r="U84" i="17"/>
  <c r="T79" i="29"/>
  <c r="S79" i="29"/>
  <c r="R79" i="29"/>
  <c r="U79" i="29"/>
  <c r="X79" i="29"/>
  <c r="R103" i="17"/>
  <c r="V91" i="24"/>
  <c r="R91" i="24"/>
  <c r="T91" i="24"/>
  <c r="V76" i="24"/>
  <c r="W76" i="24"/>
  <c r="U76" i="24"/>
  <c r="S76" i="24"/>
  <c r="X76" i="24"/>
  <c r="R76" i="24"/>
  <c r="T76" i="24"/>
  <c r="X78" i="19"/>
  <c r="W78" i="19"/>
  <c r="S78" i="19"/>
  <c r="V78" i="19"/>
  <c r="U78" i="19"/>
  <c r="T78" i="19"/>
  <c r="T85" i="17"/>
  <c r="R78" i="19"/>
  <c r="W89" i="21"/>
  <c r="R102" i="17"/>
  <c r="X87" i="19"/>
  <c r="U91" i="24"/>
  <c r="X91" i="29"/>
  <c r="M91" i="29"/>
  <c r="O90" i="24"/>
  <c r="K89" i="19"/>
  <c r="K92" i="29"/>
  <c r="S103" i="17"/>
  <c r="T89" i="27"/>
  <c r="U89" i="27"/>
  <c r="V89" i="27"/>
  <c r="T79" i="27"/>
  <c r="W79" i="27"/>
  <c r="S85" i="17"/>
  <c r="S79" i="27"/>
  <c r="V79" i="27"/>
  <c r="X79" i="27"/>
  <c r="U79" i="27"/>
  <c r="R79" i="27"/>
  <c r="R88" i="19"/>
  <c r="T88" i="19"/>
  <c r="V88" i="19"/>
  <c r="T103" i="17"/>
  <c r="W88" i="19"/>
  <c r="X88" i="19"/>
  <c r="R85" i="17"/>
  <c r="S81" i="24"/>
  <c r="T81" i="24"/>
  <c r="V81" i="24"/>
  <c r="W81" i="24"/>
  <c r="R81" i="24"/>
  <c r="X81" i="24"/>
  <c r="U81" i="24"/>
  <c r="S68" i="17"/>
  <c r="K116" i="21"/>
  <c r="G34" i="27"/>
  <c r="K34" i="27" s="1"/>
  <c r="G34" i="21"/>
  <c r="K34" i="21" s="1"/>
  <c r="G32" i="29"/>
  <c r="K32" i="29" s="1"/>
  <c r="G32" i="27"/>
  <c r="K32" i="27" s="1"/>
  <c r="G32" i="19"/>
  <c r="K32" i="19" s="1"/>
  <c r="G33" i="24"/>
  <c r="K33" i="24" s="1"/>
  <c r="O88" i="19"/>
  <c r="G34" i="19"/>
  <c r="K34" i="19" s="1"/>
  <c r="G91" i="21"/>
  <c r="K91" i="21" s="1"/>
  <c r="G55" i="24"/>
  <c r="K55" i="24" s="1"/>
  <c r="M89" i="27"/>
  <c r="AO26" i="1"/>
  <c r="K54" i="29"/>
  <c r="G56" i="21"/>
  <c r="K56" i="21" s="1"/>
  <c r="G55" i="27"/>
  <c r="K55" i="27" s="1"/>
  <c r="O91" i="21"/>
  <c r="O92" i="29"/>
  <c r="O90" i="27"/>
  <c r="O92" i="24"/>
  <c r="K72" i="1"/>
  <c r="BL72" i="1" s="1"/>
  <c r="G29" i="21"/>
  <c r="K29" i="21" s="1"/>
  <c r="G28" i="24"/>
  <c r="K28" i="24" s="1"/>
  <c r="G27" i="29"/>
  <c r="K27" i="29" s="1"/>
  <c r="G27" i="27"/>
  <c r="K27" i="27" s="1"/>
  <c r="G27" i="19"/>
  <c r="K27" i="19" s="1"/>
  <c r="O93" i="29"/>
  <c r="M90" i="19"/>
  <c r="E119" i="17"/>
  <c r="AJ101" i="1"/>
  <c r="AJ133" i="1" s="1"/>
  <c r="F101" i="2"/>
  <c r="O89" i="19"/>
  <c r="N86" i="27"/>
  <c r="N87" i="21"/>
  <c r="N88" i="24"/>
  <c r="N88" i="29"/>
  <c r="N85" i="19"/>
  <c r="M93" i="24"/>
  <c r="E70" i="17"/>
  <c r="BB99" i="1"/>
  <c r="G10" i="15" s="1"/>
  <c r="AF102" i="1"/>
  <c r="BD98" i="1"/>
  <c r="J9" i="15" s="1"/>
  <c r="N80" i="24"/>
  <c r="N77" i="19"/>
  <c r="N79" i="21"/>
  <c r="N79" i="29"/>
  <c r="N78" i="27"/>
  <c r="G46" i="27"/>
  <c r="K46" i="27" s="1"/>
  <c r="G92" i="24"/>
  <c r="K92" i="24" s="1"/>
  <c r="K118" i="29"/>
  <c r="I23" i="1" s="1"/>
  <c r="P23" i="1" s="1"/>
  <c r="K115" i="27"/>
  <c r="N89" i="21"/>
  <c r="N90" i="29"/>
  <c r="N88" i="27"/>
  <c r="M88" i="19"/>
  <c r="O116" i="27"/>
  <c r="M16" i="1" s="1"/>
  <c r="AR16" i="1" s="1"/>
  <c r="O90" i="29"/>
  <c r="L37" i="41"/>
  <c r="BC98" i="1"/>
  <c r="I9" i="15" s="1"/>
  <c r="AY99" i="1"/>
  <c r="D10" i="15" s="1"/>
  <c r="O113" i="27"/>
  <c r="K113" i="27"/>
  <c r="O114" i="19"/>
  <c r="O117" i="29"/>
  <c r="O118" i="29"/>
  <c r="M23" i="1" s="1"/>
  <c r="AO23" i="1" s="1"/>
  <c r="K117" i="29"/>
  <c r="G48" i="19"/>
  <c r="K48" i="19" s="1"/>
  <c r="G50" i="21"/>
  <c r="K50" i="21" s="1"/>
  <c r="G48" i="29"/>
  <c r="K48" i="29" s="1"/>
  <c r="G49" i="24"/>
  <c r="K49" i="24" s="1"/>
  <c r="G84" i="19"/>
  <c r="K84" i="19" s="1"/>
  <c r="G86" i="21"/>
  <c r="K86" i="21" s="1"/>
  <c r="G87" i="29"/>
  <c r="K87" i="29" s="1"/>
  <c r="G85" i="27"/>
  <c r="K85" i="27" s="1"/>
  <c r="G87" i="24"/>
  <c r="K87" i="24" s="1"/>
  <c r="X104" i="1"/>
  <c r="AD104" i="1"/>
  <c r="W104" i="1"/>
  <c r="AB104" i="1"/>
  <c r="K103" i="2"/>
  <c r="Y104" i="1"/>
  <c r="AC104" i="1"/>
  <c r="O73" i="24"/>
  <c r="O71" i="27"/>
  <c r="O72" i="21"/>
  <c r="N91" i="29"/>
  <c r="N89" i="27"/>
  <c r="N82" i="19"/>
  <c r="T61" i="2" s="1"/>
  <c r="N84" i="21"/>
  <c r="T58" i="2" s="1"/>
  <c r="N83" i="27"/>
  <c r="T60" i="2" s="1"/>
  <c r="N85" i="24"/>
  <c r="T59" i="2" s="1"/>
  <c r="N85" i="29"/>
  <c r="T62" i="2" s="1"/>
  <c r="G69" i="27"/>
  <c r="K69" i="27" s="1"/>
  <c r="G70" i="29"/>
  <c r="K70" i="29" s="1"/>
  <c r="G71" i="24"/>
  <c r="K71" i="24" s="1"/>
  <c r="G70" i="21"/>
  <c r="K70" i="21" s="1"/>
  <c r="G68" i="19"/>
  <c r="K68" i="19" s="1"/>
  <c r="N64" i="19"/>
  <c r="N66" i="29"/>
  <c r="N67" i="24"/>
  <c r="N66" i="21"/>
  <c r="N65" i="27"/>
  <c r="M90" i="21"/>
  <c r="N91" i="24"/>
  <c r="N88" i="19"/>
  <c r="K114" i="19"/>
  <c r="N92" i="21"/>
  <c r="N93" i="24"/>
  <c r="N91" i="27"/>
  <c r="G70" i="19"/>
  <c r="K70" i="19" s="1"/>
  <c r="G71" i="27"/>
  <c r="K71" i="27" s="1"/>
  <c r="G72" i="29"/>
  <c r="K72" i="29" s="1"/>
  <c r="G73" i="24"/>
  <c r="K73" i="24" s="1"/>
  <c r="G72" i="21"/>
  <c r="K72" i="21" s="1"/>
  <c r="O91" i="24"/>
  <c r="O91" i="29"/>
  <c r="G101" i="2"/>
  <c r="AV102" i="1"/>
  <c r="AT102" i="1"/>
  <c r="AP102" i="1"/>
  <c r="N101" i="2"/>
  <c r="AR102" i="1"/>
  <c r="AU102" i="1"/>
  <c r="AO102" i="1"/>
  <c r="AQ102" i="1"/>
  <c r="AS102" i="1"/>
  <c r="U101" i="2"/>
  <c r="M102" i="1" s="1"/>
  <c r="N68" i="19"/>
  <c r="N70" i="29"/>
  <c r="N70" i="21"/>
  <c r="N71" i="24"/>
  <c r="N69" i="27"/>
  <c r="BD99" i="1"/>
  <c r="J10" i="15" s="1"/>
  <c r="E120" i="17"/>
  <c r="AX98" i="1"/>
  <c r="C9" i="15" s="1"/>
  <c r="M91" i="27"/>
  <c r="M92" i="21"/>
  <c r="AU104" i="1"/>
  <c r="AP104" i="1"/>
  <c r="AO104" i="1"/>
  <c r="AQ104" i="1"/>
  <c r="N103" i="2"/>
  <c r="AT104" i="1"/>
  <c r="AS104" i="1"/>
  <c r="AV104" i="1"/>
  <c r="O83" i="27"/>
  <c r="U60" i="2" s="1"/>
  <c r="O85" i="29"/>
  <c r="U62" i="2" s="1"/>
  <c r="O85" i="24"/>
  <c r="U59" i="2" s="1"/>
  <c r="N59" i="2" s="1"/>
  <c r="O84" i="21"/>
  <c r="U58" i="2" s="1"/>
  <c r="O82" i="19"/>
  <c r="U61" i="2" s="1"/>
  <c r="S102" i="1"/>
  <c r="C101" i="2"/>
  <c r="T102" i="1"/>
  <c r="P102" i="1"/>
  <c r="G78" i="19"/>
  <c r="K78" i="19" s="1"/>
  <c r="G81" i="24"/>
  <c r="K81" i="24" s="1"/>
  <c r="Q102" i="1"/>
  <c r="G80" i="29"/>
  <c r="K80" i="29" s="1"/>
  <c r="N102" i="1"/>
  <c r="J101" i="2"/>
  <c r="Q101" i="2"/>
  <c r="I102" i="1" s="1"/>
  <c r="O102" i="1"/>
  <c r="R102" i="1"/>
  <c r="G79" i="27"/>
  <c r="K79" i="27" s="1"/>
  <c r="U102" i="1"/>
  <c r="G80" i="21"/>
  <c r="K80" i="21" s="1"/>
  <c r="F100" i="2"/>
  <c r="M100" i="2"/>
  <c r="O65" i="27"/>
  <c r="O66" i="21"/>
  <c r="O67" i="24"/>
  <c r="O64" i="19"/>
  <c r="O66" i="29"/>
  <c r="E32" i="5"/>
  <c r="E17" i="5"/>
  <c r="E72" i="17"/>
  <c r="BC99" i="1"/>
  <c r="I10" i="15" s="1"/>
  <c r="AZ99" i="1"/>
  <c r="E10" i="15" s="1"/>
  <c r="E104" i="17"/>
  <c r="L11" i="15"/>
  <c r="AI97" i="1"/>
  <c r="BA97" i="1" s="1"/>
  <c r="F8" i="15" s="1"/>
  <c r="O85" i="27"/>
  <c r="O87" i="24"/>
  <c r="O86" i="21"/>
  <c r="O87" i="29"/>
  <c r="O84" i="19"/>
  <c r="J103" i="2"/>
  <c r="T104" i="1"/>
  <c r="G82" i="29"/>
  <c r="K82" i="29" s="1"/>
  <c r="O104" i="1"/>
  <c r="N104" i="1"/>
  <c r="R104" i="1"/>
  <c r="G81" i="27"/>
  <c r="K81" i="27" s="1"/>
  <c r="G82" i="21"/>
  <c r="K82" i="21" s="1"/>
  <c r="U104" i="1"/>
  <c r="G83" i="24"/>
  <c r="K83" i="24" s="1"/>
  <c r="P104" i="1"/>
  <c r="G80" i="19"/>
  <c r="K80" i="19" s="1"/>
  <c r="S104" i="1"/>
  <c r="G83" i="27"/>
  <c r="K83" i="27" s="1"/>
  <c r="G85" i="24"/>
  <c r="K85" i="24" s="1"/>
  <c r="G84" i="21"/>
  <c r="K84" i="21" s="1"/>
  <c r="G85" i="29"/>
  <c r="K85" i="29" s="1"/>
  <c r="G82" i="19"/>
  <c r="K82" i="19" s="1"/>
  <c r="M101" i="2"/>
  <c r="AK102" i="1"/>
  <c r="AG102" i="1"/>
  <c r="T101" i="2"/>
  <c r="L102" i="1" s="1"/>
  <c r="N79" i="27"/>
  <c r="AM102" i="1"/>
  <c r="N81" i="24"/>
  <c r="AI102" i="1"/>
  <c r="N80" i="21"/>
  <c r="N78" i="19"/>
  <c r="N80" i="29"/>
  <c r="O69" i="27"/>
  <c r="O70" i="21"/>
  <c r="O70" i="29"/>
  <c r="O71" i="24"/>
  <c r="O68" i="19"/>
  <c r="BL92" i="1"/>
  <c r="E95" i="17"/>
  <c r="N84" i="19"/>
  <c r="N87" i="29"/>
  <c r="N87" i="24"/>
  <c r="N85" i="27"/>
  <c r="N86" i="21"/>
  <c r="O89" i="21"/>
  <c r="M102" i="2"/>
  <c r="AI103" i="1"/>
  <c r="AM103" i="1"/>
  <c r="AG103" i="1"/>
  <c r="AK103" i="1"/>
  <c r="N81" i="21"/>
  <c r="AF103" i="1"/>
  <c r="AJ103" i="1"/>
  <c r="T102" i="2"/>
  <c r="L103" i="1" s="1"/>
  <c r="N82" i="24"/>
  <c r="F102" i="2"/>
  <c r="N80" i="27"/>
  <c r="AL103" i="1"/>
  <c r="N79" i="19"/>
  <c r="AH103" i="1"/>
  <c r="N81" i="29"/>
  <c r="G77" i="19"/>
  <c r="K77" i="19" s="1"/>
  <c r="G78" i="27"/>
  <c r="K78" i="27" s="1"/>
  <c r="G80" i="24"/>
  <c r="K80" i="24" s="1"/>
  <c r="G79" i="21"/>
  <c r="K79" i="21" s="1"/>
  <c r="G79" i="29"/>
  <c r="K79" i="29" s="1"/>
  <c r="E84" i="17"/>
  <c r="L30" i="41"/>
  <c r="R99" i="2" s="1"/>
  <c r="N30" i="41"/>
  <c r="D99" i="2" s="1"/>
  <c r="N86" i="29"/>
  <c r="T51" i="2" s="1"/>
  <c r="N84" i="27"/>
  <c r="T49" i="2" s="1"/>
  <c r="N86" i="24"/>
  <c r="T48" i="2" s="1"/>
  <c r="N83" i="19"/>
  <c r="T50" i="2" s="1"/>
  <c r="N85" i="21"/>
  <c r="T47" i="2" s="1"/>
  <c r="M84" i="27"/>
  <c r="S49" i="2" s="1"/>
  <c r="M86" i="24"/>
  <c r="S48" i="2" s="1"/>
  <c r="M86" i="29"/>
  <c r="S51" i="2" s="1"/>
  <c r="M85" i="21"/>
  <c r="S47" i="2" s="1"/>
  <c r="M83" i="19"/>
  <c r="S50" i="2" s="1"/>
  <c r="E77" i="17"/>
  <c r="T101" i="1"/>
  <c r="P101" i="1"/>
  <c r="R101" i="1"/>
  <c r="N101" i="1"/>
  <c r="C100" i="2"/>
  <c r="S101" i="1"/>
  <c r="O101" i="1"/>
  <c r="Q101" i="1"/>
  <c r="U101" i="1"/>
  <c r="J100" i="2"/>
  <c r="O70" i="27"/>
  <c r="O71" i="21"/>
  <c r="O72" i="24"/>
  <c r="G45" i="19"/>
  <c r="K45" i="19" s="1"/>
  <c r="G45" i="29"/>
  <c r="K45" i="29" s="1"/>
  <c r="G45" i="27"/>
  <c r="K45" i="27" s="1"/>
  <c r="G46" i="24"/>
  <c r="K46" i="24" s="1"/>
  <c r="E95" i="2"/>
  <c r="L95" i="2"/>
  <c r="S95" i="2"/>
  <c r="K96" i="1" s="1"/>
  <c r="D95" i="2"/>
  <c r="K95" i="2"/>
  <c r="R95" i="2"/>
  <c r="J96" i="1" s="1"/>
  <c r="O88" i="27"/>
  <c r="AF101" i="1"/>
  <c r="AG98" i="1"/>
  <c r="AY98" i="1" s="1"/>
  <c r="N42" i="41"/>
  <c r="F97" i="2" s="1"/>
  <c r="AK97" i="1"/>
  <c r="BC97" i="1" s="1"/>
  <c r="I8" i="15" s="1"/>
  <c r="F94" i="2"/>
  <c r="H94" i="2" s="1"/>
  <c r="N41" i="41"/>
  <c r="D97" i="2" s="1"/>
  <c r="L42" i="41"/>
  <c r="G37" i="19"/>
  <c r="K37" i="19" s="1"/>
  <c r="G37" i="29"/>
  <c r="K37" i="29" s="1"/>
  <c r="G37" i="27"/>
  <c r="K37" i="27" s="1"/>
  <c r="G38" i="24"/>
  <c r="K38" i="24" s="1"/>
  <c r="G39" i="21"/>
  <c r="K39" i="21" s="1"/>
  <c r="G26" i="19"/>
  <c r="K26" i="19" s="1"/>
  <c r="G28" i="21"/>
  <c r="K28" i="21" s="1"/>
  <c r="M90" i="24"/>
  <c r="K112" i="19"/>
  <c r="K116" i="27"/>
  <c r="I16" i="1" s="1"/>
  <c r="T16" i="1" s="1"/>
  <c r="O115" i="19"/>
  <c r="M19" i="1" s="1"/>
  <c r="O92" i="21"/>
  <c r="O93" i="24"/>
  <c r="E93" i="17"/>
  <c r="AC101" i="1"/>
  <c r="AC133" i="1" s="1"/>
  <c r="Y101" i="1"/>
  <c r="Y133" i="1" s="1"/>
  <c r="AA101" i="1"/>
  <c r="AA133" i="1" s="1"/>
  <c r="W101" i="1"/>
  <c r="D100" i="2"/>
  <c r="AB101" i="1"/>
  <c r="AB133" i="1" s="1"/>
  <c r="K100" i="2"/>
  <c r="X101" i="1"/>
  <c r="X133" i="1" s="1"/>
  <c r="Z101" i="1"/>
  <c r="Z133" i="1" s="1"/>
  <c r="AD101" i="1"/>
  <c r="AD133" i="1" s="1"/>
  <c r="E102" i="17"/>
  <c r="G90" i="24"/>
  <c r="K90" i="24" s="1"/>
  <c r="G87" i="19"/>
  <c r="K87" i="19" s="1"/>
  <c r="G89" i="21"/>
  <c r="K89" i="21" s="1"/>
  <c r="G90" i="29"/>
  <c r="K90" i="29" s="1"/>
  <c r="G88" i="27"/>
  <c r="K88" i="27" s="1"/>
  <c r="M88" i="24"/>
  <c r="M87" i="21"/>
  <c r="M86" i="27"/>
  <c r="M88" i="29"/>
  <c r="M85" i="19"/>
  <c r="E88" i="17"/>
  <c r="O79" i="21"/>
  <c r="U37" i="2" s="1"/>
  <c r="N37" i="2" s="1"/>
  <c r="S103" i="1"/>
  <c r="Q103" i="1"/>
  <c r="G79" i="19"/>
  <c r="K79" i="19" s="1"/>
  <c r="O103" i="1"/>
  <c r="N103" i="1"/>
  <c r="T103" i="1"/>
  <c r="Q102" i="2"/>
  <c r="G80" i="27"/>
  <c r="K80" i="27" s="1"/>
  <c r="J102" i="2"/>
  <c r="C102" i="2"/>
  <c r="G81" i="29"/>
  <c r="K81" i="29" s="1"/>
  <c r="R103" i="1"/>
  <c r="G81" i="21"/>
  <c r="K81" i="21" s="1"/>
  <c r="U103" i="1"/>
  <c r="G82" i="24"/>
  <c r="K82" i="24" s="1"/>
  <c r="E86" i="17"/>
  <c r="P103" i="1"/>
  <c r="AU101" i="1"/>
  <c r="AU133" i="1" s="1"/>
  <c r="AQ101" i="1"/>
  <c r="AQ133" i="1" s="1"/>
  <c r="G100" i="2"/>
  <c r="AS101" i="1"/>
  <c r="AS133" i="1" s="1"/>
  <c r="AO101" i="1"/>
  <c r="AT101" i="1"/>
  <c r="AT133" i="1" s="1"/>
  <c r="AP101" i="1"/>
  <c r="AP133" i="1" s="1"/>
  <c r="N100" i="2"/>
  <c r="AR101" i="1"/>
  <c r="AR133" i="1" s="1"/>
  <c r="AV101" i="1"/>
  <c r="AV133" i="1" s="1"/>
  <c r="M72" i="24"/>
  <c r="M71" i="21"/>
  <c r="M70" i="27"/>
  <c r="O87" i="19"/>
  <c r="BB98" i="1"/>
  <c r="G9" i="15" s="1"/>
  <c r="AJ97" i="1"/>
  <c r="BB97" i="1" s="1"/>
  <c r="G8" i="15" s="1"/>
  <c r="N40" i="41"/>
  <c r="C97" i="2" s="1"/>
  <c r="C8" i="15"/>
  <c r="G30" i="21"/>
  <c r="K30" i="21" s="1"/>
  <c r="G28" i="29"/>
  <c r="K28" i="29" s="1"/>
  <c r="G28" i="19"/>
  <c r="K28" i="19" s="1"/>
  <c r="G29" i="24"/>
  <c r="K29" i="24" s="1"/>
  <c r="G28" i="27"/>
  <c r="K28" i="27" s="1"/>
  <c r="N27" i="41"/>
  <c r="G31" i="27"/>
  <c r="K31" i="27" s="1"/>
  <c r="G32" i="24"/>
  <c r="K32" i="24" s="1"/>
  <c r="G30" i="19"/>
  <c r="K30" i="19" s="1"/>
  <c r="G33" i="21"/>
  <c r="K33" i="21" s="1"/>
  <c r="G31" i="29"/>
  <c r="K31" i="29" s="1"/>
  <c r="G17" i="29"/>
  <c r="K17" i="29" s="1"/>
  <c r="G17" i="21"/>
  <c r="K17" i="21" s="1"/>
  <c r="G17" i="27"/>
  <c r="K17" i="27" s="1"/>
  <c r="G17" i="19"/>
  <c r="K17" i="19" s="1"/>
  <c r="N95" i="2"/>
  <c r="U95" i="2"/>
  <c r="M96" i="1" s="1"/>
  <c r="G95" i="2"/>
  <c r="E105" i="17"/>
  <c r="G91" i="27"/>
  <c r="K91" i="27" s="1"/>
  <c r="G90" i="19"/>
  <c r="K90" i="19" s="1"/>
  <c r="G92" i="21"/>
  <c r="K92" i="21" s="1"/>
  <c r="G93" i="29"/>
  <c r="K93" i="29" s="1"/>
  <c r="G93" i="24"/>
  <c r="K93" i="24" s="1"/>
  <c r="AJ104" i="1"/>
  <c r="AF104" i="1"/>
  <c r="AH104" i="1"/>
  <c r="AL104" i="1"/>
  <c r="M103" i="2"/>
  <c r="AG104" i="1"/>
  <c r="AK104" i="1"/>
  <c r="AM104" i="1"/>
  <c r="N81" i="27"/>
  <c r="N83" i="24"/>
  <c r="N80" i="19"/>
  <c r="N82" i="21"/>
  <c r="N82" i="29"/>
  <c r="N73" i="24"/>
  <c r="N72" i="21"/>
  <c r="N71" i="27"/>
  <c r="M89" i="21"/>
  <c r="M87" i="19"/>
  <c r="E96" i="17"/>
  <c r="G86" i="27"/>
  <c r="K86" i="27" s="1"/>
  <c r="G87" i="21"/>
  <c r="K87" i="21" s="1"/>
  <c r="G88" i="24"/>
  <c r="K88" i="24" s="1"/>
  <c r="G85" i="19"/>
  <c r="K85" i="19" s="1"/>
  <c r="G88" i="29"/>
  <c r="K88" i="29" s="1"/>
  <c r="E94" i="17"/>
  <c r="G83" i="19"/>
  <c r="K83" i="19" s="1"/>
  <c r="G86" i="24"/>
  <c r="K86" i="24" s="1"/>
  <c r="G86" i="29"/>
  <c r="K86" i="29" s="1"/>
  <c r="G85" i="21"/>
  <c r="K85" i="21" s="1"/>
  <c r="G84" i="27"/>
  <c r="K84" i="27" s="1"/>
  <c r="AV103" i="1"/>
  <c r="AP103" i="1"/>
  <c r="G102" i="2"/>
  <c r="AT103" i="1"/>
  <c r="AR103" i="1"/>
  <c r="N102" i="2"/>
  <c r="AU103" i="1"/>
  <c r="AQ103" i="1"/>
  <c r="U102" i="2"/>
  <c r="M103" i="1" s="1"/>
  <c r="O80" i="24"/>
  <c r="U38" i="2" s="1"/>
  <c r="N38" i="2" s="1"/>
  <c r="O79" i="29"/>
  <c r="U41" i="2" s="1"/>
  <c r="N41" i="2" s="1"/>
  <c r="AS103" i="1"/>
  <c r="AO103" i="1"/>
  <c r="E100" i="2"/>
  <c r="AK101" i="1"/>
  <c r="AK133" i="1" s="1"/>
  <c r="AG101" i="1"/>
  <c r="AG133" i="1" s="1"/>
  <c r="AI101" i="1"/>
  <c r="AI133" i="1" s="1"/>
  <c r="L100" i="2"/>
  <c r="AM101" i="1"/>
  <c r="AM133" i="1" s="1"/>
  <c r="G48" i="27"/>
  <c r="K48" i="27" s="1"/>
  <c r="F27" i="5"/>
  <c r="E118" i="17"/>
  <c r="AH101" i="1"/>
  <c r="AH133" i="1" s="1"/>
  <c r="L41" i="41"/>
  <c r="N31" i="41"/>
  <c r="F99" i="2" s="1"/>
  <c r="L31" i="41"/>
  <c r="T99" i="2" s="1"/>
  <c r="L100" i="1" s="1"/>
  <c r="AL97" i="1"/>
  <c r="BD97" i="1" s="1"/>
  <c r="J8" i="15" s="1"/>
  <c r="L40" i="41"/>
  <c r="L36" i="41"/>
  <c r="BG95" i="1"/>
  <c r="G33" i="19"/>
  <c r="K33" i="19" s="1"/>
  <c r="G33" i="27"/>
  <c r="K33" i="27" s="1"/>
  <c r="G34" i="24"/>
  <c r="K34" i="24" s="1"/>
  <c r="G35" i="21"/>
  <c r="K35" i="21" s="1"/>
  <c r="G33" i="29"/>
  <c r="K33" i="29" s="1"/>
  <c r="G25" i="19"/>
  <c r="K25" i="19" s="1"/>
  <c r="K25" i="27"/>
  <c r="O112" i="19"/>
  <c r="G21" i="21"/>
  <c r="K21" i="21" s="1"/>
  <c r="G21" i="24"/>
  <c r="K21" i="24" s="1"/>
  <c r="G20" i="19"/>
  <c r="K20" i="19" s="1"/>
  <c r="K115" i="19"/>
  <c r="I19" i="1" s="1"/>
  <c r="O115" i="29"/>
  <c r="M21" i="1" s="1"/>
  <c r="AT21" i="1" s="1"/>
  <c r="O115" i="27"/>
  <c r="E103" i="17"/>
  <c r="G90" i="21"/>
  <c r="K90" i="21" s="1"/>
  <c r="G88" i="19"/>
  <c r="K88" i="19" s="1"/>
  <c r="G89" i="27"/>
  <c r="K89" i="27" s="1"/>
  <c r="G91" i="29"/>
  <c r="K91" i="29" s="1"/>
  <c r="G91" i="24"/>
  <c r="K91" i="24" s="1"/>
  <c r="E117" i="17"/>
  <c r="J95" i="2"/>
  <c r="C95" i="2"/>
  <c r="Q95" i="2"/>
  <c r="M91" i="24"/>
  <c r="E85" i="17"/>
  <c r="AC102" i="1"/>
  <c r="Y102" i="1"/>
  <c r="AA102" i="1"/>
  <c r="AD102" i="1"/>
  <c r="W102" i="1"/>
  <c r="R101" i="2"/>
  <c r="D101" i="2"/>
  <c r="Z102" i="1"/>
  <c r="K101" i="2"/>
  <c r="AB102" i="1"/>
  <c r="X102" i="1"/>
  <c r="O86" i="27"/>
  <c r="O88" i="29"/>
  <c r="O88" i="24"/>
  <c r="O85" i="19"/>
  <c r="O87" i="21"/>
  <c r="M79" i="21"/>
  <c r="S37" i="2" s="1"/>
  <c r="E73" i="17"/>
  <c r="M89" i="19"/>
  <c r="M92" i="24"/>
  <c r="M92" i="29"/>
  <c r="M91" i="21"/>
  <c r="M90" i="27"/>
  <c r="N92" i="29"/>
  <c r="N90" i="27"/>
  <c r="N92" i="24"/>
  <c r="N89" i="19"/>
  <c r="N91" i="21"/>
  <c r="O84" i="27"/>
  <c r="U49" i="2" s="1"/>
  <c r="O86" i="29"/>
  <c r="U51" i="2" s="1"/>
  <c r="O85" i="21"/>
  <c r="U47" i="2" s="1"/>
  <c r="O86" i="24"/>
  <c r="U48" i="2" s="1"/>
  <c r="N48" i="2" s="1"/>
  <c r="O83" i="19"/>
  <c r="U50" i="2" s="1"/>
  <c r="E102" i="2"/>
  <c r="M79" i="29"/>
  <c r="S41" i="2" s="1"/>
  <c r="S102" i="2"/>
  <c r="K103" i="1" s="1"/>
  <c r="M80" i="24"/>
  <c r="S38" i="2" s="1"/>
  <c r="L102" i="2"/>
  <c r="E71" i="17"/>
  <c r="G72" i="24"/>
  <c r="K72" i="24" s="1"/>
  <c r="G71" i="29"/>
  <c r="K71" i="29" s="1"/>
  <c r="G69" i="19"/>
  <c r="K69" i="19" s="1"/>
  <c r="G70" i="27"/>
  <c r="K70" i="27" s="1"/>
  <c r="G71" i="21"/>
  <c r="K71" i="21" s="1"/>
  <c r="N37" i="41"/>
  <c r="E76" i="17"/>
  <c r="G47" i="19"/>
  <c r="K47" i="19" s="1"/>
  <c r="G47" i="29"/>
  <c r="K47" i="29" s="1"/>
  <c r="G47" i="27"/>
  <c r="K47" i="27" s="1"/>
  <c r="G48" i="24"/>
  <c r="K48" i="24" s="1"/>
  <c r="G49" i="21"/>
  <c r="K49" i="21" s="1"/>
  <c r="C92" i="2"/>
  <c r="H92" i="2" s="1"/>
  <c r="N26" i="41"/>
  <c r="P93" i="1"/>
  <c r="AZ93" i="1" s="1"/>
  <c r="L26" i="41"/>
  <c r="M95" i="2"/>
  <c r="T95" i="2"/>
  <c r="L96" i="1" s="1"/>
  <c r="F95" i="2"/>
  <c r="N90" i="24"/>
  <c r="E87" i="17"/>
  <c r="AL101" i="1"/>
  <c r="AL133" i="1" s="1"/>
  <c r="AH97" i="1"/>
  <c r="AM97" i="1"/>
  <c r="BE97" i="1" s="1"/>
  <c r="K8" i="15" s="1"/>
  <c r="L27" i="41"/>
  <c r="N36" i="41"/>
  <c r="G35" i="27"/>
  <c r="K35" i="27" s="1"/>
  <c r="G35" i="19"/>
  <c r="K35" i="19" s="1"/>
  <c r="G37" i="21"/>
  <c r="K37" i="21" s="1"/>
  <c r="G31" i="19"/>
  <c r="K31" i="19" s="1"/>
  <c r="G32" i="21"/>
  <c r="K32" i="21" s="1"/>
  <c r="G30" i="29"/>
  <c r="K30" i="29" s="1"/>
  <c r="G31" i="24"/>
  <c r="K31" i="24" s="1"/>
  <c r="G30" i="27"/>
  <c r="K30" i="27" s="1"/>
  <c r="G23" i="19"/>
  <c r="K23" i="19" s="1"/>
  <c r="G23" i="27"/>
  <c r="K23" i="27" s="1"/>
  <c r="G24" i="24"/>
  <c r="K24" i="24" s="1"/>
  <c r="G23" i="29"/>
  <c r="K23" i="29" s="1"/>
  <c r="G24" i="21"/>
  <c r="K24" i="21" s="1"/>
  <c r="G19" i="27"/>
  <c r="K19" i="27" s="1"/>
  <c r="G19" i="29"/>
  <c r="K19" i="29" s="1"/>
  <c r="G19" i="24"/>
  <c r="K19" i="24" s="1"/>
  <c r="G19" i="21"/>
  <c r="K19" i="21" s="1"/>
  <c r="G37" i="24"/>
  <c r="K37" i="24" s="1"/>
  <c r="G36" i="29"/>
  <c r="K36" i="29" s="1"/>
  <c r="G36" i="27"/>
  <c r="K36" i="27" s="1"/>
  <c r="H52" i="6"/>
  <c r="H53" i="6" s="1"/>
  <c r="H59" i="6"/>
  <c r="O114" i="21"/>
  <c r="O117" i="21"/>
  <c r="M9" i="1" s="1"/>
  <c r="O116" i="21"/>
  <c r="H58" i="6"/>
  <c r="D60" i="6"/>
  <c r="D62" i="6" s="1"/>
  <c r="F10" i="2" l="1"/>
  <c r="M10" i="2" s="1"/>
  <c r="Y75" i="24"/>
  <c r="L74" i="21"/>
  <c r="P74" i="21" s="1"/>
  <c r="Q74" i="21" s="1"/>
  <c r="L73" i="27"/>
  <c r="P73" i="27" s="1"/>
  <c r="L43" i="41"/>
  <c r="Y74" i="21"/>
  <c r="I32" i="1"/>
  <c r="R32" i="1" s="1"/>
  <c r="BJ32" i="1" s="1"/>
  <c r="I34" i="1"/>
  <c r="R34" i="1" s="1"/>
  <c r="BJ34" i="1" s="1"/>
  <c r="P72" i="19"/>
  <c r="Q72" i="19" s="1"/>
  <c r="I30" i="1"/>
  <c r="R30" i="1" s="1"/>
  <c r="BJ30" i="1" s="1"/>
  <c r="P70" i="19"/>
  <c r="Q70" i="19" s="1"/>
  <c r="P72" i="29"/>
  <c r="Q72" i="29" s="1"/>
  <c r="I38" i="1"/>
  <c r="R38" i="1" s="1"/>
  <c r="BJ38" i="1" s="1"/>
  <c r="C10" i="2"/>
  <c r="J10" i="2" s="1"/>
  <c r="Y71" i="19"/>
  <c r="Y72" i="19"/>
  <c r="L75" i="24"/>
  <c r="P75" i="24" s="1"/>
  <c r="Y73" i="29"/>
  <c r="Y72" i="27"/>
  <c r="L73" i="29"/>
  <c r="P73" i="29" s="1"/>
  <c r="H17" i="5"/>
  <c r="X6" i="4" s="1"/>
  <c r="X8" i="4" s="1"/>
  <c r="I7" i="44" s="1"/>
  <c r="I36" i="1"/>
  <c r="Q36" i="1" s="1"/>
  <c r="BJ36" i="1" s="1"/>
  <c r="L71" i="19"/>
  <c r="P71" i="19" s="1"/>
  <c r="L72" i="27"/>
  <c r="P72" i="27" s="1"/>
  <c r="Y74" i="29"/>
  <c r="Y73" i="27"/>
  <c r="L74" i="29"/>
  <c r="P74" i="29" s="1"/>
  <c r="M11" i="5"/>
  <c r="M6" i="5"/>
  <c r="M7" i="5"/>
  <c r="F29" i="5"/>
  <c r="M8" i="5"/>
  <c r="M9" i="5"/>
  <c r="M10" i="5"/>
  <c r="M15" i="5"/>
  <c r="M14" i="5"/>
  <c r="L73" i="21"/>
  <c r="P73" i="21" s="1"/>
  <c r="Q73" i="21" s="1"/>
  <c r="L71" i="29"/>
  <c r="P71" i="29" s="1"/>
  <c r="L69" i="19"/>
  <c r="P69" i="19" s="1"/>
  <c r="Q69" i="19" s="1"/>
  <c r="Y73" i="21"/>
  <c r="L75" i="29"/>
  <c r="P75" i="29" s="1"/>
  <c r="L73" i="19"/>
  <c r="P73" i="19" s="1"/>
  <c r="L74" i="27"/>
  <c r="P74" i="27" s="1"/>
  <c r="L74" i="24"/>
  <c r="P74" i="24" s="1"/>
  <c r="Y74" i="24"/>
  <c r="H11" i="15"/>
  <c r="M11" i="15" s="1"/>
  <c r="BM100" i="1"/>
  <c r="O116" i="24"/>
  <c r="M12" i="1" s="1"/>
  <c r="AV12" i="1" s="1"/>
  <c r="K116" i="24"/>
  <c r="I12" i="1" s="1"/>
  <c r="S12" i="1" s="1"/>
  <c r="P106" i="24"/>
  <c r="K62" i="24"/>
  <c r="O114" i="24"/>
  <c r="P7" i="24"/>
  <c r="L62" i="24"/>
  <c r="BG100" i="1"/>
  <c r="BN92" i="1"/>
  <c r="BG93" i="1"/>
  <c r="BK102" i="1"/>
  <c r="BM98" i="1"/>
  <c r="H99" i="2"/>
  <c r="N11" i="15" s="1"/>
  <c r="AZ97" i="1"/>
  <c r="E8" i="15" s="1"/>
  <c r="H8" i="15" s="1"/>
  <c r="BM97" i="1"/>
  <c r="BJ101" i="1"/>
  <c r="BM72" i="1"/>
  <c r="F63" i="2" s="1"/>
  <c r="M63" i="2" s="1"/>
  <c r="E63" i="2"/>
  <c r="L63" i="2" s="1"/>
  <c r="BN103" i="1"/>
  <c r="AF133" i="1"/>
  <c r="BM101" i="1"/>
  <c r="BJ102" i="1"/>
  <c r="BK92" i="1"/>
  <c r="BJ93" i="1"/>
  <c r="BJ103" i="1"/>
  <c r="W133" i="1"/>
  <c r="BK101" i="1"/>
  <c r="BJ92" i="1"/>
  <c r="BM103" i="1"/>
  <c r="BM102" i="1"/>
  <c r="AO133" i="1"/>
  <c r="BN101" i="1"/>
  <c r="BM92" i="1"/>
  <c r="BN102" i="1"/>
  <c r="N42" i="2"/>
  <c r="N85" i="2"/>
  <c r="L56" i="1"/>
  <c r="J85" i="2"/>
  <c r="L9" i="15"/>
  <c r="K42" i="2"/>
  <c r="J74" i="2"/>
  <c r="J42" i="2"/>
  <c r="K38" i="27"/>
  <c r="P103" i="24"/>
  <c r="P103" i="29"/>
  <c r="P103" i="19"/>
  <c r="L91" i="21"/>
  <c r="P91" i="21" s="1"/>
  <c r="Q91" i="21" s="1"/>
  <c r="Y91" i="21"/>
  <c r="F23" i="5"/>
  <c r="J42" i="15"/>
  <c r="J46" i="15"/>
  <c r="J43" i="15"/>
  <c r="J40" i="15"/>
  <c r="J44" i="15"/>
  <c r="J41" i="15"/>
  <c r="J45" i="15"/>
  <c r="C60" i="6"/>
  <c r="C62" i="6" s="1"/>
  <c r="H62" i="6" s="1"/>
  <c r="H53" i="4"/>
  <c r="P104" i="27"/>
  <c r="P106" i="29"/>
  <c r="S38" i="17"/>
  <c r="I43" i="15"/>
  <c r="I40" i="15"/>
  <c r="I46" i="15"/>
  <c r="I42" i="15"/>
  <c r="I45" i="15"/>
  <c r="I41" i="15"/>
  <c r="I44" i="15"/>
  <c r="H37" i="6"/>
  <c r="H60" i="6"/>
  <c r="D65" i="13"/>
  <c r="C11" i="4" s="1"/>
  <c r="K67" i="1"/>
  <c r="I29" i="1"/>
  <c r="R29" i="1" s="1"/>
  <c r="E65" i="13"/>
  <c r="D11" i="4" s="1"/>
  <c r="D36" i="4" s="1"/>
  <c r="D61" i="4" s="1"/>
  <c r="H53" i="42"/>
  <c r="H42" i="6"/>
  <c r="H44" i="6" s="1"/>
  <c r="H45" i="6" s="1"/>
  <c r="N11" i="4"/>
  <c r="H29" i="12"/>
  <c r="H30" i="12" s="1"/>
  <c r="F65" i="13"/>
  <c r="E11" i="4" s="1"/>
  <c r="E36" i="4" s="1"/>
  <c r="E61" i="4" s="1"/>
  <c r="AV26" i="1"/>
  <c r="L10" i="15"/>
  <c r="L61" i="29"/>
  <c r="AP26" i="1"/>
  <c r="P105" i="21"/>
  <c r="AT11" i="1"/>
  <c r="M104" i="19"/>
  <c r="P7" i="21"/>
  <c r="L61" i="21"/>
  <c r="F31" i="5"/>
  <c r="H10" i="3"/>
  <c r="F33" i="5"/>
  <c r="BD92" i="1"/>
  <c r="AX92" i="1"/>
  <c r="BC92" i="1"/>
  <c r="L60" i="27"/>
  <c r="L59" i="19"/>
  <c r="F32" i="5"/>
  <c r="F28" i="5"/>
  <c r="E96" i="2"/>
  <c r="H96" i="2" s="1"/>
  <c r="N8" i="15" s="1"/>
  <c r="Q100" i="2"/>
  <c r="V100" i="2" s="1"/>
  <c r="BD102" i="1"/>
  <c r="F24" i="5"/>
  <c r="S9" i="4"/>
  <c r="D7" i="44"/>
  <c r="F26" i="5"/>
  <c r="L91" i="27"/>
  <c r="P91" i="27" s="1"/>
  <c r="Q91" i="27" s="1"/>
  <c r="Y91" i="27"/>
  <c r="AQ23" i="1"/>
  <c r="AT23" i="1"/>
  <c r="AS23" i="1"/>
  <c r="P81" i="29"/>
  <c r="Q81" i="29" s="1"/>
  <c r="AP23" i="1"/>
  <c r="AR23" i="1"/>
  <c r="AV23" i="1"/>
  <c r="AU23" i="1"/>
  <c r="U38" i="17"/>
  <c r="O116" i="29"/>
  <c r="M22" i="1" s="1"/>
  <c r="AT22" i="1" s="1"/>
  <c r="G65" i="13"/>
  <c r="F11" i="4" s="1"/>
  <c r="F36" i="4" s="1"/>
  <c r="F61" i="4" s="1"/>
  <c r="I42" i="13"/>
  <c r="K38" i="29"/>
  <c r="R23" i="1"/>
  <c r="S23" i="1"/>
  <c r="N23" i="1"/>
  <c r="H65" i="13"/>
  <c r="G11" i="4" s="1"/>
  <c r="G36" i="4" s="1"/>
  <c r="G61" i="4" s="1"/>
  <c r="O114" i="27"/>
  <c r="M15" i="1" s="1"/>
  <c r="AP15" i="1" s="1"/>
  <c r="R16" i="1"/>
  <c r="M105" i="27"/>
  <c r="M65" i="13"/>
  <c r="R38" i="17"/>
  <c r="AR11" i="1"/>
  <c r="AU11" i="1"/>
  <c r="I19" i="13"/>
  <c r="BG132" i="1"/>
  <c r="M19" i="13"/>
  <c r="AO16" i="1"/>
  <c r="O13" i="1"/>
  <c r="AQ26" i="1"/>
  <c r="AT26" i="1"/>
  <c r="AQ16" i="1"/>
  <c r="AR26" i="1"/>
  <c r="AS26" i="1"/>
  <c r="AU26" i="1"/>
  <c r="AU21" i="1"/>
  <c r="AZ104" i="1"/>
  <c r="O103" i="2"/>
  <c r="S73" i="2"/>
  <c r="S72" i="2"/>
  <c r="S69" i="2"/>
  <c r="L84" i="19"/>
  <c r="P84" i="19" s="1"/>
  <c r="Q84" i="19" s="1"/>
  <c r="Y80" i="21"/>
  <c r="L67" i="24"/>
  <c r="P67" i="24" s="1"/>
  <c r="Y84" i="19"/>
  <c r="Y88" i="24"/>
  <c r="Y86" i="21"/>
  <c r="L80" i="21"/>
  <c r="P80" i="21" s="1"/>
  <c r="Q80" i="21" s="1"/>
  <c r="Y67" i="24"/>
  <c r="L86" i="21"/>
  <c r="P86" i="21" s="1"/>
  <c r="Q86" i="21" s="1"/>
  <c r="L88" i="24"/>
  <c r="P88" i="24" s="1"/>
  <c r="Q88" i="24" s="1"/>
  <c r="L78" i="29"/>
  <c r="R31" i="2" s="1"/>
  <c r="Y68" i="24"/>
  <c r="Y86" i="27"/>
  <c r="Y71" i="24"/>
  <c r="L86" i="27"/>
  <c r="P86" i="27" s="1"/>
  <c r="Q86" i="27" s="1"/>
  <c r="S71" i="2"/>
  <c r="Y85" i="19"/>
  <c r="L85" i="19"/>
  <c r="Y78" i="29"/>
  <c r="S70" i="2"/>
  <c r="L87" i="21"/>
  <c r="L90" i="29"/>
  <c r="P90" i="29" s="1"/>
  <c r="Q90" i="29" s="1"/>
  <c r="Y90" i="27"/>
  <c r="L71" i="24"/>
  <c r="P71" i="24" s="1"/>
  <c r="Q71" i="24" s="1"/>
  <c r="Y75" i="21"/>
  <c r="L90" i="19"/>
  <c r="P90" i="19" s="1"/>
  <c r="Q90" i="19" s="1"/>
  <c r="L64" i="19"/>
  <c r="P64" i="19" s="1"/>
  <c r="L79" i="21"/>
  <c r="L90" i="27"/>
  <c r="P90" i="27" s="1"/>
  <c r="Q90" i="27" s="1"/>
  <c r="Y90" i="29"/>
  <c r="Y78" i="21"/>
  <c r="Y87" i="21"/>
  <c r="L79" i="24"/>
  <c r="R28" i="2" s="1"/>
  <c r="Y66" i="29"/>
  <c r="Y71" i="21"/>
  <c r="Y88" i="27"/>
  <c r="L93" i="24"/>
  <c r="P93" i="24" s="1"/>
  <c r="Q93" i="24" s="1"/>
  <c r="L78" i="21"/>
  <c r="R27" i="2" s="1"/>
  <c r="Y65" i="27"/>
  <c r="Y70" i="21"/>
  <c r="Y79" i="21"/>
  <c r="L85" i="21"/>
  <c r="R47" i="2" s="1"/>
  <c r="Y74" i="27"/>
  <c r="Y85" i="27"/>
  <c r="L87" i="29"/>
  <c r="P87" i="29" s="1"/>
  <c r="Q87" i="29" s="1"/>
  <c r="Y90" i="21"/>
  <c r="Y64" i="19"/>
  <c r="L68" i="19"/>
  <c r="P68" i="19" s="1"/>
  <c r="Q68" i="19" s="1"/>
  <c r="Y90" i="19"/>
  <c r="Y71" i="29"/>
  <c r="L70" i="21"/>
  <c r="P70" i="21" s="1"/>
  <c r="Q70" i="21" s="1"/>
  <c r="L91" i="24"/>
  <c r="P91" i="24" s="1"/>
  <c r="Q91" i="24" s="1"/>
  <c r="Y89" i="21"/>
  <c r="Y70" i="24"/>
  <c r="Y93" i="24"/>
  <c r="Y73" i="19"/>
  <c r="L65" i="27"/>
  <c r="P65" i="27" s="1"/>
  <c r="L88" i="27"/>
  <c r="P88" i="27" s="1"/>
  <c r="Q88" i="27" s="1"/>
  <c r="L93" i="29"/>
  <c r="P93" i="29" s="1"/>
  <c r="Q93" i="29" s="1"/>
  <c r="L85" i="27"/>
  <c r="Y85" i="21"/>
  <c r="Y69" i="19"/>
  <c r="L92" i="21"/>
  <c r="P92" i="21" s="1"/>
  <c r="Q92" i="21" s="1"/>
  <c r="L75" i="21"/>
  <c r="Y69" i="27"/>
  <c r="Y93" i="29"/>
  <c r="U69" i="2"/>
  <c r="N69" i="2" s="1"/>
  <c r="L71" i="21"/>
  <c r="P71" i="21" s="1"/>
  <c r="Y68" i="19"/>
  <c r="L76" i="19"/>
  <c r="R30" i="2" s="1"/>
  <c r="Y69" i="24"/>
  <c r="L90" i="21"/>
  <c r="P90" i="21" s="1"/>
  <c r="Q90" i="21" s="1"/>
  <c r="T83" i="2"/>
  <c r="M34" i="1"/>
  <c r="Y70" i="27"/>
  <c r="L84" i="21"/>
  <c r="R58" i="2" s="1"/>
  <c r="Y84" i="21"/>
  <c r="Y92" i="21"/>
  <c r="Y87" i="29"/>
  <c r="Y89" i="27"/>
  <c r="S64" i="2"/>
  <c r="L66" i="29"/>
  <c r="P66" i="29" s="1"/>
  <c r="M30" i="1"/>
  <c r="L70" i="27"/>
  <c r="P70" i="27" s="1"/>
  <c r="Y91" i="24"/>
  <c r="Y76" i="19"/>
  <c r="Y90" i="24"/>
  <c r="Y87" i="24"/>
  <c r="L87" i="24"/>
  <c r="Y72" i="24"/>
  <c r="Y79" i="24"/>
  <c r="L70" i="29"/>
  <c r="Y70" i="29"/>
  <c r="Y75" i="29"/>
  <c r="L69" i="27"/>
  <c r="P69" i="27" s="1"/>
  <c r="Q69" i="27" s="1"/>
  <c r="Y77" i="27"/>
  <c r="L77" i="27"/>
  <c r="R29" i="2" s="1"/>
  <c r="L66" i="21"/>
  <c r="Y66" i="21"/>
  <c r="P80" i="27"/>
  <c r="Q80" i="27" s="1"/>
  <c r="L87" i="19"/>
  <c r="P87" i="19" s="1"/>
  <c r="L72" i="24"/>
  <c r="P72" i="24" s="1"/>
  <c r="Y79" i="29"/>
  <c r="L79" i="29"/>
  <c r="P79" i="29" s="1"/>
  <c r="Q79" i="29" s="1"/>
  <c r="L89" i="21"/>
  <c r="P89" i="21" s="1"/>
  <c r="Q89" i="21" s="1"/>
  <c r="K71" i="1"/>
  <c r="Y77" i="19"/>
  <c r="L77" i="19"/>
  <c r="Y76" i="24"/>
  <c r="L76" i="24"/>
  <c r="Y80" i="24"/>
  <c r="L80" i="24"/>
  <c r="P80" i="24" s="1"/>
  <c r="Q80" i="24" s="1"/>
  <c r="L92" i="24"/>
  <c r="Y92" i="24"/>
  <c r="L90" i="24"/>
  <c r="P90" i="24" s="1"/>
  <c r="Y87" i="19"/>
  <c r="L89" i="27"/>
  <c r="U72" i="2"/>
  <c r="N72" i="2" s="1"/>
  <c r="U81" i="2"/>
  <c r="N81" i="2" s="1"/>
  <c r="T40" i="2"/>
  <c r="Y78" i="19"/>
  <c r="L78" i="19"/>
  <c r="P78" i="19" s="1"/>
  <c r="Q78" i="19" s="1"/>
  <c r="L84" i="27"/>
  <c r="R49" i="2" s="1"/>
  <c r="Y84" i="27"/>
  <c r="Y78" i="27"/>
  <c r="L78" i="27"/>
  <c r="L91" i="29"/>
  <c r="P91" i="29" s="1"/>
  <c r="Q91" i="29" s="1"/>
  <c r="Y89" i="19"/>
  <c r="L89" i="19"/>
  <c r="P89" i="19" s="1"/>
  <c r="Q89" i="19" s="1"/>
  <c r="Y91" i="29"/>
  <c r="Y85" i="29"/>
  <c r="L85" i="29"/>
  <c r="R62" i="2" s="1"/>
  <c r="K68" i="1"/>
  <c r="Y92" i="29"/>
  <c r="L92" i="29"/>
  <c r="P92" i="29" s="1"/>
  <c r="Q92" i="29" s="1"/>
  <c r="Y86" i="29"/>
  <c r="L86" i="29"/>
  <c r="R51" i="2" s="1"/>
  <c r="Y88" i="19"/>
  <c r="Y79" i="27"/>
  <c r="L79" i="27"/>
  <c r="P79" i="27" s="1"/>
  <c r="Q79" i="27" s="1"/>
  <c r="Y88" i="29"/>
  <c r="L88" i="29"/>
  <c r="P88" i="29" s="1"/>
  <c r="Q88" i="29" s="1"/>
  <c r="Y85" i="24"/>
  <c r="L85" i="24"/>
  <c r="R59" i="2" s="1"/>
  <c r="L88" i="19"/>
  <c r="P88" i="19" s="1"/>
  <c r="Q88" i="19" s="1"/>
  <c r="P82" i="21"/>
  <c r="Q82" i="21" s="1"/>
  <c r="P81" i="21"/>
  <c r="Q81" i="21" s="1"/>
  <c r="M36" i="1"/>
  <c r="T82" i="2"/>
  <c r="T80" i="2"/>
  <c r="U83" i="2"/>
  <c r="N83" i="2" s="1"/>
  <c r="L81" i="24"/>
  <c r="P81" i="24" s="1"/>
  <c r="Q81" i="24" s="1"/>
  <c r="Y81" i="24"/>
  <c r="K70" i="1"/>
  <c r="BL70" i="1" s="1"/>
  <c r="Y86" i="24"/>
  <c r="L86" i="24"/>
  <c r="R48" i="2" s="1"/>
  <c r="Y80" i="29"/>
  <c r="L80" i="29"/>
  <c r="P80" i="29" s="1"/>
  <c r="Q80" i="29" s="1"/>
  <c r="K69" i="1"/>
  <c r="Y83" i="27"/>
  <c r="L83" i="27"/>
  <c r="R60" i="2" s="1"/>
  <c r="Y83" i="19"/>
  <c r="L83" i="19"/>
  <c r="R50" i="2" s="1"/>
  <c r="Y82" i="19"/>
  <c r="L82" i="19"/>
  <c r="R61" i="2" s="1"/>
  <c r="T84" i="2"/>
  <c r="U73" i="2"/>
  <c r="AX102" i="1"/>
  <c r="P101" i="27"/>
  <c r="M38" i="1"/>
  <c r="T13" i="1"/>
  <c r="T23" i="1"/>
  <c r="S83" i="2"/>
  <c r="M107" i="24"/>
  <c r="BC104" i="1"/>
  <c r="AZ92" i="1"/>
  <c r="BE92" i="1"/>
  <c r="U82" i="2"/>
  <c r="Q82" i="2"/>
  <c r="O101" i="2"/>
  <c r="O115" i="21"/>
  <c r="M8" i="1" s="1"/>
  <c r="AR8" i="1" s="1"/>
  <c r="S13" i="1"/>
  <c r="AS13" i="1"/>
  <c r="O16" i="1"/>
  <c r="AQ25" i="1"/>
  <c r="O113" i="19"/>
  <c r="M18" i="1" s="1"/>
  <c r="AO18" i="1" s="1"/>
  <c r="AY102" i="1"/>
  <c r="H101" i="2"/>
  <c r="BB102" i="1"/>
  <c r="P105" i="24"/>
  <c r="P83" i="24"/>
  <c r="Q83" i="24" s="1"/>
  <c r="BB104" i="1"/>
  <c r="Q81" i="2"/>
  <c r="U80" i="2"/>
  <c r="P102" i="19"/>
  <c r="AV21" i="1"/>
  <c r="U16" i="1"/>
  <c r="AS21" i="1"/>
  <c r="AV11" i="1"/>
  <c r="Q16" i="1"/>
  <c r="U70" i="2"/>
  <c r="N70" i="2" s="1"/>
  <c r="BC102" i="1"/>
  <c r="AF113" i="1"/>
  <c r="P81" i="27"/>
  <c r="Q81" i="27" s="1"/>
  <c r="BA92" i="1"/>
  <c r="H97" i="2"/>
  <c r="N9" i="15" s="1"/>
  <c r="P82" i="24"/>
  <c r="Q82" i="24" s="1"/>
  <c r="H43" i="13"/>
  <c r="S81" i="2"/>
  <c r="AY101" i="1"/>
  <c r="M107" i="29"/>
  <c r="S84" i="2"/>
  <c r="AO11" i="1"/>
  <c r="AS11" i="1"/>
  <c r="U71" i="2"/>
  <c r="N71" i="2" s="1"/>
  <c r="AP11" i="1"/>
  <c r="P80" i="19"/>
  <c r="Q80" i="19" s="1"/>
  <c r="BD104" i="1"/>
  <c r="BD103" i="1"/>
  <c r="P105" i="29"/>
  <c r="K61" i="21"/>
  <c r="D9" i="15"/>
  <c r="H9" i="15" s="1"/>
  <c r="BG98" i="1"/>
  <c r="Q62" i="2"/>
  <c r="M71" i="1"/>
  <c r="L69" i="1"/>
  <c r="Q13" i="1"/>
  <c r="R13" i="1"/>
  <c r="P13" i="1"/>
  <c r="N13" i="1"/>
  <c r="AZ102" i="1"/>
  <c r="AX104" i="1"/>
  <c r="BB92" i="1"/>
  <c r="Q59" i="2"/>
  <c r="M70" i="1"/>
  <c r="M69" i="1"/>
  <c r="L71" i="1"/>
  <c r="L70" i="1"/>
  <c r="AJ70" i="1" s="1"/>
  <c r="AS16" i="1"/>
  <c r="AU16" i="1"/>
  <c r="AV16" i="1"/>
  <c r="AT16" i="1"/>
  <c r="AP16" i="1"/>
  <c r="U23" i="1"/>
  <c r="Q23" i="1"/>
  <c r="O23" i="1"/>
  <c r="H102" i="2"/>
  <c r="Q58" i="2"/>
  <c r="Q60" i="2"/>
  <c r="T7" i="4"/>
  <c r="T6" i="4"/>
  <c r="M67" i="1"/>
  <c r="U64" i="2"/>
  <c r="M72" i="1"/>
  <c r="L68" i="1"/>
  <c r="L72" i="1"/>
  <c r="O37" i="41"/>
  <c r="T81" i="2"/>
  <c r="BA102" i="1"/>
  <c r="BE102" i="1"/>
  <c r="Q80" i="2"/>
  <c r="S80" i="2"/>
  <c r="P82" i="29"/>
  <c r="Q82" i="29" s="1"/>
  <c r="BE104" i="1"/>
  <c r="AY104" i="1"/>
  <c r="AY92" i="1"/>
  <c r="P103" i="27"/>
  <c r="M32" i="1"/>
  <c r="AU32" i="1" s="1"/>
  <c r="Q61" i="2"/>
  <c r="E34" i="5"/>
  <c r="E35" i="5" s="1"/>
  <c r="M68" i="1"/>
  <c r="L67" i="1"/>
  <c r="T64" i="2"/>
  <c r="U84" i="2"/>
  <c r="M64" i="1"/>
  <c r="M63" i="1"/>
  <c r="K51" i="1"/>
  <c r="T96" i="1"/>
  <c r="P96" i="1"/>
  <c r="U96" i="1"/>
  <c r="S96" i="1"/>
  <c r="R96" i="1"/>
  <c r="O96" i="1"/>
  <c r="N96" i="1"/>
  <c r="Q96" i="1"/>
  <c r="Q97" i="2"/>
  <c r="O40" i="41"/>
  <c r="J97" i="2" s="1"/>
  <c r="M55" i="1"/>
  <c r="Q49" i="2"/>
  <c r="Q48" i="2"/>
  <c r="Q70" i="2"/>
  <c r="J70" i="2" s="1"/>
  <c r="L38" i="1"/>
  <c r="AY103" i="1"/>
  <c r="M51" i="1"/>
  <c r="AQ13" i="1"/>
  <c r="AU13" i="1"/>
  <c r="AV13" i="1"/>
  <c r="AT13" i="1"/>
  <c r="AR13" i="1"/>
  <c r="O42" i="41"/>
  <c r="M97" i="2" s="1"/>
  <c r="T97" i="2"/>
  <c r="L98" i="1" s="1"/>
  <c r="BE101" i="1"/>
  <c r="H100" i="2"/>
  <c r="BD101" i="1"/>
  <c r="K63" i="1"/>
  <c r="K60" i="1"/>
  <c r="L62" i="1"/>
  <c r="AJ62" i="1" s="1"/>
  <c r="L61" i="1"/>
  <c r="Q37" i="2"/>
  <c r="T38" i="2"/>
  <c r="T71" i="2"/>
  <c r="AR21" i="1"/>
  <c r="P104" i="21"/>
  <c r="M106" i="21"/>
  <c r="O27" i="41"/>
  <c r="M94" i="2" s="1"/>
  <c r="O94" i="2" s="1"/>
  <c r="T94" i="2"/>
  <c r="M62" i="1"/>
  <c r="M61" i="1"/>
  <c r="I96" i="1"/>
  <c r="V95" i="2"/>
  <c r="N106" i="21"/>
  <c r="M52" i="1"/>
  <c r="Q47" i="2"/>
  <c r="Q73" i="2"/>
  <c r="L36" i="1"/>
  <c r="AJ36" i="1" s="1"/>
  <c r="BE103" i="1"/>
  <c r="I103" i="1"/>
  <c r="V102" i="2"/>
  <c r="P79" i="19"/>
  <c r="Q79" i="19" s="1"/>
  <c r="BA103" i="1"/>
  <c r="F43" i="13"/>
  <c r="AO19" i="1"/>
  <c r="AS19" i="1"/>
  <c r="AV19" i="1"/>
  <c r="AT19" i="1"/>
  <c r="AR19" i="1"/>
  <c r="AQ19" i="1"/>
  <c r="AU19" i="1"/>
  <c r="AP19" i="1"/>
  <c r="BA101" i="1"/>
  <c r="AX101" i="1"/>
  <c r="L64" i="1"/>
  <c r="AX99" i="1"/>
  <c r="Q38" i="2"/>
  <c r="T39" i="2"/>
  <c r="T37" i="2"/>
  <c r="T73" i="2"/>
  <c r="AH113" i="1"/>
  <c r="AM113" i="1"/>
  <c r="AL113" i="1"/>
  <c r="AK113" i="1"/>
  <c r="AJ113" i="1"/>
  <c r="S11" i="2"/>
  <c r="O26" i="41"/>
  <c r="J92" i="2" s="1"/>
  <c r="O92" i="2" s="1"/>
  <c r="Q92" i="2"/>
  <c r="K55" i="1"/>
  <c r="M60" i="1"/>
  <c r="AB113" i="1"/>
  <c r="X113" i="1"/>
  <c r="AD113" i="1"/>
  <c r="AC113" i="1"/>
  <c r="AA113" i="1"/>
  <c r="Y113" i="1"/>
  <c r="J102" i="1"/>
  <c r="V101" i="2"/>
  <c r="H95" i="2"/>
  <c r="N7" i="15" s="1"/>
  <c r="AO21" i="1"/>
  <c r="AP21" i="1"/>
  <c r="S19" i="1"/>
  <c r="T19" i="1"/>
  <c r="P19" i="1"/>
  <c r="R19" i="1"/>
  <c r="U19" i="1"/>
  <c r="O19" i="1"/>
  <c r="N19" i="1"/>
  <c r="Q19" i="1"/>
  <c r="K113" i="19"/>
  <c r="I18" i="1" s="1"/>
  <c r="O36" i="41"/>
  <c r="S96" i="2"/>
  <c r="R97" i="2"/>
  <c r="J98" i="1" s="1"/>
  <c r="O41" i="41"/>
  <c r="K97" i="2" s="1"/>
  <c r="Q50" i="2"/>
  <c r="Q69" i="2"/>
  <c r="J69" i="2" s="1"/>
  <c r="L34" i="1"/>
  <c r="P71" i="27"/>
  <c r="Q71" i="27" s="1"/>
  <c r="AZ103" i="1"/>
  <c r="BC103" i="1"/>
  <c r="G43" i="13"/>
  <c r="P11" i="1"/>
  <c r="T11" i="1"/>
  <c r="O11" i="1"/>
  <c r="S11" i="1"/>
  <c r="N11" i="1"/>
  <c r="R11" i="1"/>
  <c r="Q11" i="1"/>
  <c r="U11" i="1"/>
  <c r="K114" i="27"/>
  <c r="I15" i="1" s="1"/>
  <c r="BB101" i="1"/>
  <c r="S53" i="2"/>
  <c r="K62" i="1"/>
  <c r="K61" i="1"/>
  <c r="L60" i="1"/>
  <c r="L63" i="1"/>
  <c r="H98" i="2"/>
  <c r="N10" i="15" s="1"/>
  <c r="Q39" i="2"/>
  <c r="T70" i="2"/>
  <c r="K113" i="21"/>
  <c r="S82" i="2"/>
  <c r="Q84" i="2"/>
  <c r="AP13" i="1"/>
  <c r="AQ21" i="1"/>
  <c r="P100" i="19"/>
  <c r="K52" i="1"/>
  <c r="M59" i="1"/>
  <c r="U53" i="2"/>
  <c r="O95" i="2"/>
  <c r="K115" i="29"/>
  <c r="I21" i="1" s="1"/>
  <c r="O31" i="41"/>
  <c r="M99" i="2" s="1"/>
  <c r="L99" i="1"/>
  <c r="Q51" i="2"/>
  <c r="Q72" i="2"/>
  <c r="J72" i="2" s="1"/>
  <c r="Q71" i="2"/>
  <c r="J71" i="2" s="1"/>
  <c r="P72" i="21"/>
  <c r="L30" i="1"/>
  <c r="L32" i="1"/>
  <c r="P73" i="24"/>
  <c r="Q73" i="24" s="1"/>
  <c r="BB103" i="1"/>
  <c r="O102" i="2"/>
  <c r="AX103" i="1"/>
  <c r="Q83" i="2"/>
  <c r="N104" i="2"/>
  <c r="N115" i="2" s="1"/>
  <c r="AV113" i="1"/>
  <c r="AP113" i="1"/>
  <c r="AQ113" i="1"/>
  <c r="AS113" i="1"/>
  <c r="AU113" i="1"/>
  <c r="AT113" i="1"/>
  <c r="E43" i="13"/>
  <c r="S16" i="1"/>
  <c r="N16" i="1"/>
  <c r="P16" i="1"/>
  <c r="L8" i="15"/>
  <c r="O100" i="2"/>
  <c r="BC101" i="1"/>
  <c r="AZ101" i="1"/>
  <c r="K59" i="1"/>
  <c r="K64" i="1"/>
  <c r="BL64" i="1" s="1"/>
  <c r="L59" i="1"/>
  <c r="T53" i="2"/>
  <c r="O30" i="41"/>
  <c r="K99" i="2" s="1"/>
  <c r="O99" i="2" s="1"/>
  <c r="Q41" i="2"/>
  <c r="Q40" i="2"/>
  <c r="T41" i="2"/>
  <c r="T69" i="2"/>
  <c r="T72" i="2"/>
  <c r="AO9" i="1"/>
  <c r="AP9" i="1"/>
  <c r="AV9" i="1"/>
  <c r="AU9" i="1"/>
  <c r="AR9" i="1"/>
  <c r="AS9" i="1"/>
  <c r="AQ9" i="1"/>
  <c r="AT9" i="1"/>
  <c r="K117" i="21"/>
  <c r="I9" i="1" s="1"/>
  <c r="K114" i="21"/>
  <c r="P102" i="21"/>
  <c r="J32" i="1" l="1"/>
  <c r="AA32" i="1" s="1"/>
  <c r="BN26" i="1"/>
  <c r="O11" i="15"/>
  <c r="J30" i="1"/>
  <c r="AA30" i="1" s="1"/>
  <c r="Q73" i="27"/>
  <c r="J34" i="1"/>
  <c r="AA34" i="1" s="1"/>
  <c r="J36" i="1"/>
  <c r="Z36" i="1" s="1"/>
  <c r="J38" i="1"/>
  <c r="AB38" i="1" s="1"/>
  <c r="BN13" i="1"/>
  <c r="BN23" i="1"/>
  <c r="BJ19" i="1"/>
  <c r="BN21" i="1"/>
  <c r="Q72" i="27"/>
  <c r="K17" i="5"/>
  <c r="AA6" i="4" s="1"/>
  <c r="AA8" i="4" s="1"/>
  <c r="BJ23" i="1"/>
  <c r="Q74" i="29"/>
  <c r="Q71" i="19"/>
  <c r="I17" i="5"/>
  <c r="Y6" i="4" s="1"/>
  <c r="Y8" i="4" s="1"/>
  <c r="J7" i="44" s="1"/>
  <c r="L17" i="5"/>
  <c r="AB6" i="4" s="1"/>
  <c r="AB8" i="4" s="1"/>
  <c r="BJ11" i="1"/>
  <c r="BN19" i="1"/>
  <c r="BN11" i="1"/>
  <c r="BN16" i="1"/>
  <c r="Q73" i="29"/>
  <c r="Q75" i="24"/>
  <c r="BJ16" i="1"/>
  <c r="BJ13" i="1"/>
  <c r="J17" i="5"/>
  <c r="Z6" i="4" s="1"/>
  <c r="Z8" i="4" s="1"/>
  <c r="K7" i="44" s="1"/>
  <c r="G17" i="5"/>
  <c r="V6" i="4" s="1"/>
  <c r="BN9" i="1"/>
  <c r="Q73" i="19"/>
  <c r="Q75" i="29"/>
  <c r="Q74" i="27"/>
  <c r="Q74" i="24"/>
  <c r="K63" i="2"/>
  <c r="O63" i="2" s="1"/>
  <c r="K74" i="2"/>
  <c r="AJ61" i="1"/>
  <c r="AI61" i="1"/>
  <c r="M56" i="1"/>
  <c r="AJ60" i="1"/>
  <c r="AI60" i="1"/>
  <c r="AI63" i="1"/>
  <c r="AJ63" i="1"/>
  <c r="AJ59" i="1"/>
  <c r="AI59" i="1"/>
  <c r="Q72" i="21"/>
  <c r="Q71" i="21"/>
  <c r="Q72" i="24"/>
  <c r="Q70" i="27"/>
  <c r="Q71" i="29"/>
  <c r="X9" i="4"/>
  <c r="I17" i="44"/>
  <c r="BJ96" i="1"/>
  <c r="BG97" i="1"/>
  <c r="D43" i="13"/>
  <c r="I43" i="13" s="1"/>
  <c r="BM64" i="1"/>
  <c r="F52" i="2" s="1"/>
  <c r="M52" i="2" s="1"/>
  <c r="E52" i="2"/>
  <c r="L52" i="2" s="1"/>
  <c r="AO113" i="1"/>
  <c r="BN91" i="1"/>
  <c r="AK30" i="1"/>
  <c r="AL30" i="1"/>
  <c r="AU59" i="1"/>
  <c r="AT59" i="1"/>
  <c r="AS59" i="1"/>
  <c r="BN59" i="1" s="1"/>
  <c r="G47" i="2" s="1"/>
  <c r="N47" i="2" s="1"/>
  <c r="AK63" i="1"/>
  <c r="AL63" i="1"/>
  <c r="AU60" i="1"/>
  <c r="AT60" i="1"/>
  <c r="BJ91" i="1"/>
  <c r="BL63" i="1"/>
  <c r="AU71" i="1"/>
  <c r="AT71" i="1"/>
  <c r="AS71" i="1"/>
  <c r="BN71" i="1" s="1"/>
  <c r="G62" i="2" s="1"/>
  <c r="N62" i="2" s="1"/>
  <c r="AT38" i="1"/>
  <c r="AS38" i="1"/>
  <c r="BN38" i="1" s="1"/>
  <c r="AU38" i="1"/>
  <c r="AR36" i="1"/>
  <c r="AS36" i="1"/>
  <c r="AT30" i="1"/>
  <c r="AS30" i="1"/>
  <c r="BN30" i="1" s="1"/>
  <c r="AU30" i="1"/>
  <c r="AL59" i="1"/>
  <c r="AK59" i="1"/>
  <c r="BL52" i="1"/>
  <c r="AI52" i="1"/>
  <c r="AL60" i="1"/>
  <c r="AK60" i="1"/>
  <c r="BL55" i="1"/>
  <c r="AI55" i="1"/>
  <c r="AT61" i="1"/>
  <c r="AS61" i="1"/>
  <c r="BN61" i="1" s="1"/>
  <c r="G49" i="2" s="1"/>
  <c r="N49" i="2" s="1"/>
  <c r="AU61" i="1"/>
  <c r="AL61" i="1"/>
  <c r="AK61" i="1"/>
  <c r="AK38" i="1"/>
  <c r="AL38" i="1"/>
  <c r="BL51" i="1"/>
  <c r="AI51" i="1"/>
  <c r="AU68" i="1"/>
  <c r="AT68" i="1"/>
  <c r="AT67" i="1"/>
  <c r="AS67" i="1"/>
  <c r="BN67" i="1" s="1"/>
  <c r="G58" i="2" s="1"/>
  <c r="N58" i="2" s="1"/>
  <c r="AU67" i="1"/>
  <c r="AJ71" i="1"/>
  <c r="AL71" i="1"/>
  <c r="AK71" i="1"/>
  <c r="AS69" i="1"/>
  <c r="BN69" i="1" s="1"/>
  <c r="G60" i="2" s="1"/>
  <c r="N60" i="2" s="1"/>
  <c r="AU69" i="1"/>
  <c r="AT69" i="1"/>
  <c r="BJ29" i="1"/>
  <c r="C16" i="2" s="1"/>
  <c r="BL61" i="1"/>
  <c r="AK34" i="1"/>
  <c r="AL34" i="1"/>
  <c r="W113" i="1"/>
  <c r="BK91" i="1"/>
  <c r="AS62" i="1"/>
  <c r="AR62" i="1"/>
  <c r="AS63" i="1"/>
  <c r="BN63" i="1" s="1"/>
  <c r="G51" i="2" s="1"/>
  <c r="N51" i="2" s="1"/>
  <c r="AU63" i="1"/>
  <c r="AT63" i="1"/>
  <c r="AJ67" i="1"/>
  <c r="AL67" i="1"/>
  <c r="AK67" i="1"/>
  <c r="AJ68" i="1"/>
  <c r="AL68" i="1"/>
  <c r="AK68" i="1"/>
  <c r="AS70" i="1"/>
  <c r="AR70" i="1"/>
  <c r="E61" i="2"/>
  <c r="L61" i="2" s="1"/>
  <c r="AB30" i="1"/>
  <c r="BL59" i="1"/>
  <c r="AL32" i="1"/>
  <c r="AK32" i="1"/>
  <c r="AI62" i="1"/>
  <c r="BL62" i="1"/>
  <c r="AG113" i="1"/>
  <c r="BM91" i="1"/>
  <c r="BL60" i="1"/>
  <c r="AJ69" i="1"/>
  <c r="AL69" i="1"/>
  <c r="AK69" i="1"/>
  <c r="BL69" i="1"/>
  <c r="AI69" i="1"/>
  <c r="BL68" i="1"/>
  <c r="AI68" i="1"/>
  <c r="AC32" i="1"/>
  <c r="AB32" i="1"/>
  <c r="Z32" i="1"/>
  <c r="BL71" i="1"/>
  <c r="AI71" i="1"/>
  <c r="AU34" i="1"/>
  <c r="AT34" i="1"/>
  <c r="AS34" i="1"/>
  <c r="BN34" i="1" s="1"/>
  <c r="BL67" i="1"/>
  <c r="AI67" i="1"/>
  <c r="K56" i="1"/>
  <c r="K52" i="2"/>
  <c r="N21" i="2"/>
  <c r="M21" i="2"/>
  <c r="L21" i="2"/>
  <c r="K85" i="2"/>
  <c r="K21" i="2"/>
  <c r="J21" i="2"/>
  <c r="K60" i="27"/>
  <c r="Q7" i="2" s="1"/>
  <c r="R7" i="2"/>
  <c r="U7" i="2"/>
  <c r="T7" i="2"/>
  <c r="R5" i="2"/>
  <c r="R9" i="2"/>
  <c r="T9" i="2"/>
  <c r="U9" i="2"/>
  <c r="T8" i="2"/>
  <c r="U8" i="2"/>
  <c r="U6" i="2"/>
  <c r="U5" i="2"/>
  <c r="Q5" i="2"/>
  <c r="K105" i="27"/>
  <c r="L104" i="19"/>
  <c r="L107" i="29"/>
  <c r="L105" i="27"/>
  <c r="AI70" i="1"/>
  <c r="BM70" i="1" s="1"/>
  <c r="F61" i="2" s="1"/>
  <c r="M61" i="2" s="1"/>
  <c r="L107" i="24"/>
  <c r="R37" i="2"/>
  <c r="K80" i="1"/>
  <c r="BL80" i="1" s="1"/>
  <c r="N104" i="19"/>
  <c r="AV25" i="1"/>
  <c r="K75" i="1"/>
  <c r="BL75" i="1" s="1"/>
  <c r="AT25" i="1"/>
  <c r="AS25" i="1"/>
  <c r="L54" i="1"/>
  <c r="K78" i="1"/>
  <c r="BL78" i="1" s="1"/>
  <c r="K79" i="1"/>
  <c r="M80" i="1"/>
  <c r="M79" i="1"/>
  <c r="N107" i="29"/>
  <c r="L106" i="21"/>
  <c r="AS18" i="1"/>
  <c r="K85" i="1"/>
  <c r="K88" i="1"/>
  <c r="BL88" i="1" s="1"/>
  <c r="I87" i="1"/>
  <c r="R87" i="1" s="1"/>
  <c r="BJ87" i="1" s="1"/>
  <c r="C84" i="2" s="1"/>
  <c r="J84" i="2" s="1"/>
  <c r="L88" i="1"/>
  <c r="BE88" i="1" s="1"/>
  <c r="I85" i="1"/>
  <c r="R85" i="1" s="1"/>
  <c r="BJ85" i="1" s="1"/>
  <c r="C82" i="2" s="1"/>
  <c r="J82" i="2" s="1"/>
  <c r="I88" i="1"/>
  <c r="J43" i="1"/>
  <c r="J67" i="1"/>
  <c r="AU25" i="1"/>
  <c r="AP22" i="1"/>
  <c r="AR18" i="1"/>
  <c r="O106" i="21"/>
  <c r="R6" i="2"/>
  <c r="O105" i="27"/>
  <c r="AO25" i="1"/>
  <c r="I101" i="1"/>
  <c r="R8" i="2"/>
  <c r="AP12" i="1"/>
  <c r="AR25" i="1"/>
  <c r="K107" i="24"/>
  <c r="AP25" i="1"/>
  <c r="AO22" i="1"/>
  <c r="AS22" i="1"/>
  <c r="AU22" i="1"/>
  <c r="N105" i="27"/>
  <c r="AV15" i="1"/>
  <c r="I10" i="3"/>
  <c r="G31" i="5"/>
  <c r="G23" i="5"/>
  <c r="G28" i="5"/>
  <c r="G32" i="5"/>
  <c r="G27" i="5"/>
  <c r="G25" i="5"/>
  <c r="G26" i="5"/>
  <c r="G24" i="5"/>
  <c r="G29" i="5"/>
  <c r="G33" i="5"/>
  <c r="AQ15" i="1"/>
  <c r="AR15" i="1"/>
  <c r="N107" i="24"/>
  <c r="AU12" i="1"/>
  <c r="AU15" i="1"/>
  <c r="AU8" i="1"/>
  <c r="AO8" i="1"/>
  <c r="AQ8" i="1"/>
  <c r="AT8" i="1"/>
  <c r="AS8" i="1"/>
  <c r="AV8" i="1"/>
  <c r="AP8" i="1"/>
  <c r="R71" i="2"/>
  <c r="AO15" i="1"/>
  <c r="AT15" i="1"/>
  <c r="AS15" i="1"/>
  <c r="AR22" i="1"/>
  <c r="AQ22" i="1"/>
  <c r="O107" i="29"/>
  <c r="AV22" i="1"/>
  <c r="K61" i="29"/>
  <c r="K114" i="29"/>
  <c r="I20" i="1" s="1"/>
  <c r="I65" i="13"/>
  <c r="O104" i="19"/>
  <c r="P102" i="27"/>
  <c r="AR12" i="1"/>
  <c r="AQ12" i="1"/>
  <c r="AS12" i="1"/>
  <c r="AO12" i="1"/>
  <c r="R70" i="2"/>
  <c r="K70" i="2" s="1"/>
  <c r="AT12" i="1"/>
  <c r="P103" i="21"/>
  <c r="AQ18" i="1"/>
  <c r="AV18" i="1"/>
  <c r="AP18" i="1"/>
  <c r="AU18" i="1"/>
  <c r="AT18" i="1"/>
  <c r="D12" i="15"/>
  <c r="J12" i="15"/>
  <c r="R69" i="2"/>
  <c r="K69" i="2" s="1"/>
  <c r="P75" i="21"/>
  <c r="K76" i="1"/>
  <c r="BL76" i="1" s="1"/>
  <c r="K77" i="1"/>
  <c r="BL77" i="1" s="1"/>
  <c r="J47" i="1"/>
  <c r="M78" i="1"/>
  <c r="R72" i="2"/>
  <c r="K72" i="2" s="1"/>
  <c r="L86" i="1"/>
  <c r="P83" i="27"/>
  <c r="Q83" i="27" s="1"/>
  <c r="J59" i="1"/>
  <c r="P85" i="27"/>
  <c r="Q85" i="27" s="1"/>
  <c r="P85" i="19"/>
  <c r="Q85" i="19" s="1"/>
  <c r="P87" i="21"/>
  <c r="Q87" i="21" s="1"/>
  <c r="P85" i="21"/>
  <c r="Q85" i="21" s="1"/>
  <c r="P84" i="21"/>
  <c r="Q84" i="21" s="1"/>
  <c r="J46" i="1"/>
  <c r="Z46" i="1" s="1"/>
  <c r="BK46" i="1" s="1"/>
  <c r="D30" i="2" s="1"/>
  <c r="K30" i="2" s="1"/>
  <c r="P87" i="24"/>
  <c r="Q87" i="24" s="1"/>
  <c r="S75" i="2"/>
  <c r="M83" i="1"/>
  <c r="P79" i="21"/>
  <c r="Q79" i="21" s="1"/>
  <c r="J44" i="1"/>
  <c r="I84" i="1"/>
  <c r="R84" i="1" s="1"/>
  <c r="BJ84" i="1" s="1"/>
  <c r="C81" i="2" s="1"/>
  <c r="J81" i="2" s="1"/>
  <c r="M75" i="1"/>
  <c r="R82" i="2"/>
  <c r="R81" i="2"/>
  <c r="R20" i="2"/>
  <c r="L83" i="1"/>
  <c r="J35" i="1"/>
  <c r="P85" i="24"/>
  <c r="Q85" i="24" s="1"/>
  <c r="AT32" i="1"/>
  <c r="M76" i="1"/>
  <c r="M77" i="1"/>
  <c r="J31" i="1"/>
  <c r="P82" i="19"/>
  <c r="Q82" i="19" s="1"/>
  <c r="P86" i="24"/>
  <c r="Q86" i="24" s="1"/>
  <c r="P70" i="29"/>
  <c r="Q70" i="29" s="1"/>
  <c r="R80" i="2"/>
  <c r="J29" i="1"/>
  <c r="M84" i="1"/>
  <c r="K86" i="1"/>
  <c r="BL86" i="1" s="1"/>
  <c r="P83" i="19"/>
  <c r="Q83" i="19" s="1"/>
  <c r="R84" i="2"/>
  <c r="R73" i="2"/>
  <c r="P89" i="27"/>
  <c r="Q89" i="27" s="1"/>
  <c r="L92" i="19"/>
  <c r="R17" i="2"/>
  <c r="J37" i="1"/>
  <c r="J45" i="1"/>
  <c r="L87" i="1"/>
  <c r="P66" i="21"/>
  <c r="J33" i="1"/>
  <c r="M86" i="1"/>
  <c r="J61" i="1"/>
  <c r="P76" i="24"/>
  <c r="P84" i="27"/>
  <c r="Q84" i="27" s="1"/>
  <c r="J71" i="1"/>
  <c r="R83" i="2"/>
  <c r="K83" i="2" s="1"/>
  <c r="L85" i="1"/>
  <c r="O111" i="19"/>
  <c r="M17" i="1" s="1"/>
  <c r="P86" i="29"/>
  <c r="Q86" i="29" s="1"/>
  <c r="P92" i="24"/>
  <c r="Q92" i="24" s="1"/>
  <c r="J70" i="1"/>
  <c r="J62" i="1"/>
  <c r="J69" i="1"/>
  <c r="J60" i="1"/>
  <c r="J68" i="1"/>
  <c r="J72" i="1"/>
  <c r="R41" i="2"/>
  <c r="J63" i="1"/>
  <c r="J56" i="1"/>
  <c r="R38" i="2"/>
  <c r="P85" i="29"/>
  <c r="Q85" i="29" s="1"/>
  <c r="R39" i="2"/>
  <c r="R40" i="2"/>
  <c r="K115" i="21"/>
  <c r="I8" i="1" s="1"/>
  <c r="Q8" i="1" s="1"/>
  <c r="G12" i="15"/>
  <c r="Q12" i="1"/>
  <c r="M85" i="1"/>
  <c r="C12" i="15"/>
  <c r="BG92" i="1"/>
  <c r="U75" i="2"/>
  <c r="O112" i="27"/>
  <c r="M14" i="1" s="1"/>
  <c r="O113" i="21"/>
  <c r="M7" i="1" s="1"/>
  <c r="AV7" i="1" s="1"/>
  <c r="O114" i="29"/>
  <c r="M20" i="1" s="1"/>
  <c r="O107" i="24"/>
  <c r="M9" i="15"/>
  <c r="O9" i="15"/>
  <c r="BG102" i="1"/>
  <c r="BH102" i="1" s="1"/>
  <c r="K87" i="1"/>
  <c r="K84" i="1"/>
  <c r="P101" i="21"/>
  <c r="E12" i="15"/>
  <c r="K83" i="1"/>
  <c r="P12" i="1"/>
  <c r="S86" i="2"/>
  <c r="L84" i="1"/>
  <c r="N12" i="1"/>
  <c r="G33" i="2"/>
  <c r="BE56" i="1"/>
  <c r="I12" i="15"/>
  <c r="T12" i="1"/>
  <c r="I67" i="1"/>
  <c r="R67" i="1" s="1"/>
  <c r="V58" i="2"/>
  <c r="Q64" i="2"/>
  <c r="K106" i="21"/>
  <c r="T86" i="2"/>
  <c r="P104" i="24"/>
  <c r="O12" i="1"/>
  <c r="R12" i="1"/>
  <c r="M87" i="1"/>
  <c r="V61" i="2"/>
  <c r="I70" i="1"/>
  <c r="Q70" i="1" s="1"/>
  <c r="BJ70" i="1" s="1"/>
  <c r="C61" i="2" s="1"/>
  <c r="J61" i="2" s="1"/>
  <c r="BE72" i="1"/>
  <c r="V60" i="2"/>
  <c r="I69" i="1"/>
  <c r="R69" i="1" s="1"/>
  <c r="BE70" i="1"/>
  <c r="BE69" i="1"/>
  <c r="Q86" i="2"/>
  <c r="L96" i="2"/>
  <c r="O96" i="2" s="1"/>
  <c r="K104" i="2"/>
  <c r="K115" i="2" s="1"/>
  <c r="K12" i="15"/>
  <c r="U12" i="1"/>
  <c r="I72" i="1"/>
  <c r="V63" i="2"/>
  <c r="I83" i="1"/>
  <c r="R83" i="1" s="1"/>
  <c r="BJ83" i="1" s="1"/>
  <c r="C80" i="2" s="1"/>
  <c r="J80" i="2" s="1"/>
  <c r="BE68" i="1"/>
  <c r="T8" i="4"/>
  <c r="E17" i="44" s="1"/>
  <c r="E24" i="44" s="1"/>
  <c r="BE71" i="1"/>
  <c r="I68" i="1"/>
  <c r="R68" i="1" s="1"/>
  <c r="V59" i="2"/>
  <c r="V62" i="2"/>
  <c r="I71" i="1"/>
  <c r="R71" i="1" s="1"/>
  <c r="L55" i="1"/>
  <c r="I55" i="1"/>
  <c r="R55" i="1" s="1"/>
  <c r="BJ55" i="1" s="1"/>
  <c r="C41" i="2" s="1"/>
  <c r="J41" i="2" s="1"/>
  <c r="BE32" i="1"/>
  <c r="V51" i="2"/>
  <c r="I63" i="1"/>
  <c r="R63" i="1" s="1"/>
  <c r="N120" i="19"/>
  <c r="N121" i="19" s="1"/>
  <c r="L35" i="1"/>
  <c r="AJ35" i="1" s="1"/>
  <c r="BE63" i="1"/>
  <c r="S20" i="2"/>
  <c r="K30" i="1"/>
  <c r="V96" i="2"/>
  <c r="K97" i="1"/>
  <c r="U17" i="2"/>
  <c r="N17" i="2" s="1"/>
  <c r="L79" i="1"/>
  <c r="T20" i="2"/>
  <c r="L51" i="1"/>
  <c r="T43" i="2"/>
  <c r="I56" i="1"/>
  <c r="V42" i="2"/>
  <c r="BE64" i="1"/>
  <c r="S16" i="2"/>
  <c r="BE91" i="1"/>
  <c r="U113" i="1"/>
  <c r="V91" i="2"/>
  <c r="BC91" i="1"/>
  <c r="S113" i="1"/>
  <c r="BE36" i="1"/>
  <c r="K34" i="1"/>
  <c r="G43" i="2"/>
  <c r="I35" i="1"/>
  <c r="Q35" i="1" s="1"/>
  <c r="BJ35" i="1" s="1"/>
  <c r="C19" i="2" s="1"/>
  <c r="K120" i="19"/>
  <c r="K121" i="19" s="1"/>
  <c r="T5" i="2"/>
  <c r="M29" i="1"/>
  <c r="O122" i="21"/>
  <c r="O123" i="21" s="1"/>
  <c r="L77" i="1"/>
  <c r="BE61" i="1"/>
  <c r="BE38" i="1"/>
  <c r="I61" i="1"/>
  <c r="R61" i="1" s="1"/>
  <c r="V49" i="2"/>
  <c r="Q20" i="2"/>
  <c r="I33" i="1"/>
  <c r="R33" i="1" s="1"/>
  <c r="K121" i="27"/>
  <c r="K122" i="27" s="1"/>
  <c r="BB96" i="1"/>
  <c r="R133" i="1"/>
  <c r="BB133" i="1" s="1"/>
  <c r="H20" i="13" s="1"/>
  <c r="H66" i="13" s="1"/>
  <c r="BD96" i="1"/>
  <c r="J7" i="15" s="1"/>
  <c r="T133" i="1"/>
  <c r="O98" i="2"/>
  <c r="S19" i="2"/>
  <c r="K116" i="29"/>
  <c r="I22" i="1" s="1"/>
  <c r="P104" i="29"/>
  <c r="BG103" i="1"/>
  <c r="BH103" i="1" s="1"/>
  <c r="O8" i="15"/>
  <c r="M8" i="15"/>
  <c r="K123" i="24"/>
  <c r="K124" i="24" s="1"/>
  <c r="I31" i="1"/>
  <c r="R31" i="1" s="1"/>
  <c r="L76" i="1"/>
  <c r="T19" i="2"/>
  <c r="T18" i="2"/>
  <c r="BE54" i="1"/>
  <c r="I53" i="1"/>
  <c r="R53" i="1" s="1"/>
  <c r="BJ53" i="1" s="1"/>
  <c r="C39" i="2" s="1"/>
  <c r="J39" i="2" s="1"/>
  <c r="K33" i="1"/>
  <c r="M121" i="27"/>
  <c r="M122" i="27" s="1"/>
  <c r="BE34" i="1"/>
  <c r="I75" i="1"/>
  <c r="Q75" i="2"/>
  <c r="V50" i="2"/>
  <c r="I62" i="1"/>
  <c r="Q62" i="1" s="1"/>
  <c r="BJ62" i="1" s="1"/>
  <c r="C50" i="2" s="1"/>
  <c r="J50" i="2" s="1"/>
  <c r="K122" i="21"/>
  <c r="K123" i="21" s="1"/>
  <c r="Q18" i="1"/>
  <c r="R18" i="1"/>
  <c r="T18" i="1"/>
  <c r="O18" i="1"/>
  <c r="S18" i="1"/>
  <c r="P18" i="1"/>
  <c r="U18" i="1"/>
  <c r="N18" i="1"/>
  <c r="M31" i="1"/>
  <c r="O123" i="24"/>
  <c r="O124" i="24" s="1"/>
  <c r="P101" i="19"/>
  <c r="L75" i="1"/>
  <c r="T75" i="2"/>
  <c r="M88" i="1"/>
  <c r="I54" i="1"/>
  <c r="Q54" i="1" s="1"/>
  <c r="BJ54" i="1" s="1"/>
  <c r="C40" i="2" s="1"/>
  <c r="J40" i="2" s="1"/>
  <c r="J99" i="1"/>
  <c r="V98" i="2"/>
  <c r="K35" i="1"/>
  <c r="BL35" i="1" s="1"/>
  <c r="M120" i="19"/>
  <c r="M121" i="19" s="1"/>
  <c r="R64" i="2"/>
  <c r="I78" i="1"/>
  <c r="O120" i="19"/>
  <c r="O121" i="19" s="1"/>
  <c r="M35" i="1"/>
  <c r="BE60" i="1"/>
  <c r="S18" i="2"/>
  <c r="M33" i="1"/>
  <c r="O121" i="27"/>
  <c r="O122" i="27" s="1"/>
  <c r="V92" i="2"/>
  <c r="BH93" i="1" s="1"/>
  <c r="I93" i="1"/>
  <c r="L37" i="1"/>
  <c r="N123" i="29"/>
  <c r="N124" i="29" s="1"/>
  <c r="I52" i="1"/>
  <c r="R52" i="1" s="1"/>
  <c r="BJ52" i="1" s="1"/>
  <c r="C38" i="2" s="1"/>
  <c r="J38" i="2" s="1"/>
  <c r="BG101" i="1"/>
  <c r="BH101" i="1" s="1"/>
  <c r="J104" i="2"/>
  <c r="J115" i="2" s="1"/>
  <c r="O91" i="2"/>
  <c r="P113" i="1"/>
  <c r="AZ91" i="1"/>
  <c r="N113" i="1"/>
  <c r="AX91" i="1"/>
  <c r="I59" i="1"/>
  <c r="R59" i="1" s="1"/>
  <c r="V47" i="2"/>
  <c r="Q53" i="2"/>
  <c r="U20" i="2"/>
  <c r="L95" i="1"/>
  <c r="V94" i="2"/>
  <c r="BH95" i="1" s="1"/>
  <c r="L80" i="1"/>
  <c r="BE62" i="1"/>
  <c r="S17" i="2"/>
  <c r="BE40" i="1"/>
  <c r="I76" i="1"/>
  <c r="V48" i="2"/>
  <c r="I60" i="1"/>
  <c r="R60" i="1" s="1"/>
  <c r="V97" i="2"/>
  <c r="BH98" i="1" s="1"/>
  <c r="I98" i="1"/>
  <c r="AX96" i="1"/>
  <c r="N133" i="1"/>
  <c r="AX133" i="1" s="1"/>
  <c r="BE96" i="1"/>
  <c r="K7" i="15" s="1"/>
  <c r="U133" i="1"/>
  <c r="U86" i="2"/>
  <c r="L78" i="1"/>
  <c r="I86" i="1"/>
  <c r="Q86" i="1" s="1"/>
  <c r="BJ86" i="1" s="1"/>
  <c r="C83" i="2" s="1"/>
  <c r="J83" i="2" s="1"/>
  <c r="I77" i="1"/>
  <c r="K38" i="1"/>
  <c r="Q17" i="2"/>
  <c r="T21" i="1"/>
  <c r="O21" i="1"/>
  <c r="P21" i="1"/>
  <c r="S21" i="1"/>
  <c r="Q21" i="1"/>
  <c r="U21" i="1"/>
  <c r="R21" i="1"/>
  <c r="N21" i="1"/>
  <c r="U19" i="2"/>
  <c r="N121" i="27"/>
  <c r="N122" i="27" s="1"/>
  <c r="L33" i="1"/>
  <c r="M123" i="29"/>
  <c r="M124" i="29" s="1"/>
  <c r="K37" i="1"/>
  <c r="R15" i="1"/>
  <c r="O15" i="1"/>
  <c r="P15" i="1"/>
  <c r="Q15" i="1"/>
  <c r="S15" i="1"/>
  <c r="U15" i="1"/>
  <c r="N15" i="1"/>
  <c r="T15" i="1"/>
  <c r="M104" i="2"/>
  <c r="M115" i="2" s="1"/>
  <c r="I64" i="1"/>
  <c r="V52" i="2"/>
  <c r="Q16" i="2"/>
  <c r="U18" i="2"/>
  <c r="L29" i="1"/>
  <c r="N122" i="21"/>
  <c r="N123" i="21" s="1"/>
  <c r="AY91" i="1"/>
  <c r="O113" i="1"/>
  <c r="H91" i="2"/>
  <c r="N6" i="15" s="1"/>
  <c r="T113" i="1"/>
  <c r="BD91" i="1"/>
  <c r="I79" i="1"/>
  <c r="Q79" i="1" s="1"/>
  <c r="M37" i="1"/>
  <c r="O123" i="29"/>
  <c r="O124" i="29" s="1"/>
  <c r="V99" i="2"/>
  <c r="BH100" i="1" s="1"/>
  <c r="J100" i="1"/>
  <c r="T17" i="2"/>
  <c r="L52" i="1"/>
  <c r="I51" i="1"/>
  <c r="R51" i="1" s="1"/>
  <c r="BJ51" i="1" s="1"/>
  <c r="C37" i="2" s="1"/>
  <c r="J37" i="2" s="1"/>
  <c r="Q43" i="2"/>
  <c r="K32" i="1"/>
  <c r="P122" i="24"/>
  <c r="Q18" i="2"/>
  <c r="AY96" i="1"/>
  <c r="O133" i="1"/>
  <c r="AY133" i="1" s="1"/>
  <c r="E20" i="13" s="1"/>
  <c r="E66" i="13" s="1"/>
  <c r="D12" i="4" s="1"/>
  <c r="D37" i="4" s="1"/>
  <c r="D62" i="4" s="1"/>
  <c r="AZ96" i="1"/>
  <c r="P133" i="1"/>
  <c r="AZ133" i="1" s="1"/>
  <c r="F20" i="13" s="1"/>
  <c r="F66" i="13" s="1"/>
  <c r="E12" i="4" s="1"/>
  <c r="E37" i="4" s="1"/>
  <c r="E62" i="4" s="1"/>
  <c r="T16" i="2"/>
  <c r="L53" i="1"/>
  <c r="C10" i="15"/>
  <c r="H10" i="15" s="1"/>
  <c r="BG99" i="1"/>
  <c r="K29" i="1"/>
  <c r="M122" i="21"/>
  <c r="M123" i="21" s="1"/>
  <c r="BA91" i="1"/>
  <c r="R113" i="1"/>
  <c r="BB91" i="1"/>
  <c r="I80" i="1"/>
  <c r="Q19" i="2"/>
  <c r="U16" i="2"/>
  <c r="N123" i="24"/>
  <c r="N124" i="24" s="1"/>
  <c r="L31" i="1"/>
  <c r="M123" i="24"/>
  <c r="M124" i="24" s="1"/>
  <c r="K31" i="1"/>
  <c r="K36" i="1"/>
  <c r="I37" i="1"/>
  <c r="R37" i="1" s="1"/>
  <c r="K123" i="29"/>
  <c r="K124" i="29" s="1"/>
  <c r="O97" i="2"/>
  <c r="T6" i="2"/>
  <c r="BA96" i="1"/>
  <c r="Q133" i="1"/>
  <c r="BA133" i="1" s="1"/>
  <c r="G20" i="13" s="1"/>
  <c r="G66" i="13" s="1"/>
  <c r="BC96" i="1"/>
  <c r="I7" i="15" s="1"/>
  <c r="S133" i="1"/>
  <c r="O9" i="1"/>
  <c r="U9" i="1"/>
  <c r="R9" i="1"/>
  <c r="P9" i="1"/>
  <c r="N9" i="1"/>
  <c r="S9" i="1"/>
  <c r="Q9" i="1"/>
  <c r="T9" i="1"/>
  <c r="Q87" i="19"/>
  <c r="Q90" i="24"/>
  <c r="H11" i="4"/>
  <c r="C36" i="4"/>
  <c r="M10" i="1"/>
  <c r="O119" i="24"/>
  <c r="O120" i="24" s="1"/>
  <c r="I7" i="1"/>
  <c r="AA36" i="1" l="1"/>
  <c r="AC30" i="1"/>
  <c r="P121" i="21"/>
  <c r="Z30" i="1"/>
  <c r="P122" i="29"/>
  <c r="Z38" i="1"/>
  <c r="Z34" i="1"/>
  <c r="BK34" i="1" s="1"/>
  <c r="AB34" i="1"/>
  <c r="BC34" i="1" s="1"/>
  <c r="P119" i="19"/>
  <c r="P120" i="27"/>
  <c r="AC34" i="1"/>
  <c r="BD34" i="1" s="1"/>
  <c r="AA38" i="1"/>
  <c r="AC38" i="1"/>
  <c r="BD38" i="1" s="1"/>
  <c r="J17" i="44"/>
  <c r="J24" i="44" s="1"/>
  <c r="Z9" i="4"/>
  <c r="BN18" i="1"/>
  <c r="BN22" i="1"/>
  <c r="N60" i="19"/>
  <c r="N61" i="27"/>
  <c r="L61" i="27"/>
  <c r="G30" i="5"/>
  <c r="G34" i="5" s="1"/>
  <c r="G35" i="5" s="1"/>
  <c r="F17" i="5"/>
  <c r="F30" i="5"/>
  <c r="F34" i="5" s="1"/>
  <c r="AB9" i="4"/>
  <c r="M7" i="44"/>
  <c r="M17" i="44"/>
  <c r="M24" i="44" s="1"/>
  <c r="BN25" i="1"/>
  <c r="O62" i="29"/>
  <c r="BJ15" i="1"/>
  <c r="V7" i="4"/>
  <c r="V8" i="4" s="1"/>
  <c r="N62" i="21"/>
  <c r="BN15" i="1"/>
  <c r="BN8" i="1"/>
  <c r="N62" i="29"/>
  <c r="O61" i="27"/>
  <c r="Y9" i="4"/>
  <c r="AA9" i="4"/>
  <c r="L7" i="44"/>
  <c r="L17" i="44"/>
  <c r="L24" i="44" s="1"/>
  <c r="BJ21" i="1"/>
  <c r="BJ18" i="1"/>
  <c r="BJ12" i="1"/>
  <c r="BN12" i="1"/>
  <c r="L60" i="19"/>
  <c r="L63" i="24"/>
  <c r="O62" i="21"/>
  <c r="O60" i="19"/>
  <c r="K17" i="44"/>
  <c r="K24" i="44" s="1"/>
  <c r="M13" i="5"/>
  <c r="M17" i="5" s="1"/>
  <c r="BJ9" i="1"/>
  <c r="Q75" i="21"/>
  <c r="Q76" i="24"/>
  <c r="BD30" i="1"/>
  <c r="BN62" i="1"/>
  <c r="G50" i="2" s="1"/>
  <c r="N50" i="2" s="1"/>
  <c r="N53" i="2" s="1"/>
  <c r="J64" i="1"/>
  <c r="R53" i="2"/>
  <c r="BK36" i="1"/>
  <c r="AJ31" i="1"/>
  <c r="AI31" i="1"/>
  <c r="AJ32" i="1"/>
  <c r="BB32" i="1" s="1"/>
  <c r="AI32" i="1"/>
  <c r="BA32" i="1" s="1"/>
  <c r="AJ34" i="1"/>
  <c r="BB34" i="1" s="1"/>
  <c r="AI34" i="1"/>
  <c r="AI33" i="1"/>
  <c r="AJ33" i="1"/>
  <c r="BN70" i="1"/>
  <c r="G61" i="2" s="1"/>
  <c r="N61" i="2" s="1"/>
  <c r="N64" i="2" s="1"/>
  <c r="AJ85" i="1"/>
  <c r="AI85" i="1"/>
  <c r="AJ84" i="1"/>
  <c r="AI84" i="1"/>
  <c r="AJ87" i="1"/>
  <c r="AI87" i="1"/>
  <c r="AJ37" i="1"/>
  <c r="AI37" i="1"/>
  <c r="AJ38" i="1"/>
  <c r="AI38" i="1"/>
  <c r="BN36" i="1"/>
  <c r="BB36" i="1"/>
  <c r="J19" i="2"/>
  <c r="AJ83" i="1"/>
  <c r="AI83" i="1"/>
  <c r="AJ30" i="1"/>
  <c r="BB30" i="1" s="1"/>
  <c r="AI30" i="1"/>
  <c r="AI29" i="1"/>
  <c r="AJ29" i="1"/>
  <c r="BE133" i="1"/>
  <c r="L20" i="13" s="1"/>
  <c r="L66" i="13" s="1"/>
  <c r="K12" i="4" s="1"/>
  <c r="BD133" i="1"/>
  <c r="K20" i="13" s="1"/>
  <c r="K66" i="13" s="1"/>
  <c r="J12" i="4" s="1"/>
  <c r="I24" i="44"/>
  <c r="BH97" i="1"/>
  <c r="O52" i="2"/>
  <c r="J43" i="2"/>
  <c r="AB59" i="1"/>
  <c r="BC59" i="1" s="1"/>
  <c r="AC59" i="1"/>
  <c r="BD59" i="1" s="1"/>
  <c r="Z59" i="1"/>
  <c r="AA59" i="1"/>
  <c r="BB59" i="1" s="1"/>
  <c r="AB43" i="1"/>
  <c r="AC43" i="1"/>
  <c r="AA43" i="1"/>
  <c r="Z43" i="1"/>
  <c r="Z69" i="1"/>
  <c r="BA69" i="1" s="1"/>
  <c r="AA69" i="1"/>
  <c r="BB69" i="1" s="1"/>
  <c r="AC69" i="1"/>
  <c r="AB69" i="1"/>
  <c r="Z71" i="1"/>
  <c r="BA71" i="1" s="1"/>
  <c r="AB71" i="1"/>
  <c r="BC71" i="1" s="1"/>
  <c r="AC71" i="1"/>
  <c r="BD71" i="1" s="1"/>
  <c r="AA71" i="1"/>
  <c r="BB71" i="1" s="1"/>
  <c r="AC44" i="1"/>
  <c r="AB44" i="1"/>
  <c r="AA44" i="1"/>
  <c r="Z44" i="1"/>
  <c r="Z68" i="1"/>
  <c r="BA68" i="1" s="1"/>
  <c r="AC68" i="1"/>
  <c r="AB68" i="1"/>
  <c r="AA68" i="1"/>
  <c r="BB68" i="1" s="1"/>
  <c r="AB45" i="1"/>
  <c r="AC45" i="1"/>
  <c r="Z45" i="1"/>
  <c r="AA45" i="1"/>
  <c r="AB47" i="1"/>
  <c r="AC47" i="1"/>
  <c r="AA47" i="1"/>
  <c r="Z47" i="1"/>
  <c r="V71" i="2"/>
  <c r="W71" i="2" s="1"/>
  <c r="K71" i="2"/>
  <c r="Z67" i="1"/>
  <c r="BA67" i="1" s="1"/>
  <c r="AB67" i="1"/>
  <c r="BC67" i="1" s="1"/>
  <c r="AC67" i="1"/>
  <c r="BD67" i="1" s="1"/>
  <c r="AA67" i="1"/>
  <c r="BB67" i="1" s="1"/>
  <c r="AC63" i="1"/>
  <c r="BD63" i="1" s="1"/>
  <c r="AB63" i="1"/>
  <c r="BC63" i="1" s="1"/>
  <c r="AA63" i="1"/>
  <c r="BB63" i="1" s="1"/>
  <c r="Z63" i="1"/>
  <c r="BA63" i="1" s="1"/>
  <c r="AC60" i="1"/>
  <c r="AB60" i="1"/>
  <c r="AA60" i="1"/>
  <c r="BB60" i="1" s="1"/>
  <c r="Z60" i="1"/>
  <c r="BA60" i="1" s="1"/>
  <c r="AB61" i="1"/>
  <c r="AC61" i="1"/>
  <c r="AA61" i="1"/>
  <c r="BB61" i="1" s="1"/>
  <c r="Z61" i="1"/>
  <c r="BL33" i="1"/>
  <c r="BC30" i="1"/>
  <c r="BL30" i="1"/>
  <c r="BJ71" i="1"/>
  <c r="C62" i="2" s="1"/>
  <c r="J62" i="2" s="1"/>
  <c r="BJ68" i="1"/>
  <c r="C59" i="2" s="1"/>
  <c r="J59" i="2" s="1"/>
  <c r="BL84" i="1"/>
  <c r="AB37" i="1"/>
  <c r="AC37" i="1"/>
  <c r="AA37" i="1"/>
  <c r="Z37" i="1"/>
  <c r="BM88" i="1"/>
  <c r="F85" i="2" s="1"/>
  <c r="M85" i="2" s="1"/>
  <c r="E85" i="2"/>
  <c r="L85" i="2" s="1"/>
  <c r="BM80" i="1"/>
  <c r="F74" i="2" s="1"/>
  <c r="M74" i="2" s="1"/>
  <c r="E74" i="2"/>
  <c r="L74" i="2" s="1"/>
  <c r="BM60" i="1"/>
  <c r="F48" i="2" s="1"/>
  <c r="M48" i="2" s="1"/>
  <c r="E48" i="2"/>
  <c r="L48" i="2" s="1"/>
  <c r="AU33" i="1"/>
  <c r="AT33" i="1"/>
  <c r="AS33" i="1"/>
  <c r="BN33" i="1" s="1"/>
  <c r="G18" i="2" s="1"/>
  <c r="N18" i="2" s="1"/>
  <c r="AS29" i="1"/>
  <c r="BN29" i="1" s="1"/>
  <c r="G16" i="2" s="1"/>
  <c r="N16" i="2" s="1"/>
  <c r="AU29" i="1"/>
  <c r="AT29" i="1"/>
  <c r="BJ67" i="1"/>
  <c r="C58" i="2" s="1"/>
  <c r="J58" i="2" s="1"/>
  <c r="AK84" i="1"/>
  <c r="AL84" i="1"/>
  <c r="BL83" i="1"/>
  <c r="BL87" i="1"/>
  <c r="AK87" i="1"/>
  <c r="AL87" i="1"/>
  <c r="Z35" i="1"/>
  <c r="AA35" i="1"/>
  <c r="BM75" i="1"/>
  <c r="F69" i="2" s="1"/>
  <c r="M69" i="2" s="1"/>
  <c r="E69" i="2"/>
  <c r="BM71" i="1"/>
  <c r="F62" i="2" s="1"/>
  <c r="M62" i="2" s="1"/>
  <c r="E62" i="2"/>
  <c r="L62" i="2" s="1"/>
  <c r="BK30" i="1"/>
  <c r="BJ37" i="1"/>
  <c r="C20" i="2" s="1"/>
  <c r="J20" i="2" s="1"/>
  <c r="BL29" i="1"/>
  <c r="AS37" i="1"/>
  <c r="BN37" i="1" s="1"/>
  <c r="G20" i="2" s="1"/>
  <c r="N20" i="2" s="1"/>
  <c r="AU37" i="1"/>
  <c r="AT37" i="1"/>
  <c r="AK29" i="1"/>
  <c r="AL29" i="1"/>
  <c r="J16" i="2"/>
  <c r="BL37" i="1"/>
  <c r="AK37" i="1"/>
  <c r="AL37" i="1"/>
  <c r="BJ33" i="1"/>
  <c r="C18" i="2" s="1"/>
  <c r="J18" i="2" s="1"/>
  <c r="BJ61" i="1"/>
  <c r="C49" i="2" s="1"/>
  <c r="J49" i="2" s="1"/>
  <c r="AL79" i="1"/>
  <c r="AK79" i="1"/>
  <c r="AJ79" i="1"/>
  <c r="AK85" i="1"/>
  <c r="AL85" i="1"/>
  <c r="AU84" i="1"/>
  <c r="AT84" i="1"/>
  <c r="BM76" i="1"/>
  <c r="F70" i="2" s="1"/>
  <c r="M70" i="2" s="1"/>
  <c r="E70" i="2"/>
  <c r="L70" i="2" s="1"/>
  <c r="AU79" i="1"/>
  <c r="AT79" i="1"/>
  <c r="AS79" i="1"/>
  <c r="BN79" i="1" s="1"/>
  <c r="G73" i="2" s="1"/>
  <c r="N73" i="2" s="1"/>
  <c r="N75" i="2" s="1"/>
  <c r="BK32" i="1"/>
  <c r="BM62" i="1"/>
  <c r="F50" i="2" s="1"/>
  <c r="M50" i="2" s="1"/>
  <c r="E50" i="2"/>
  <c r="L50" i="2" s="1"/>
  <c r="BM61" i="1"/>
  <c r="F49" i="2" s="1"/>
  <c r="M49" i="2" s="1"/>
  <c r="E49" i="2"/>
  <c r="L49" i="2" s="1"/>
  <c r="E37" i="2"/>
  <c r="E38" i="2"/>
  <c r="L38" i="2" s="1"/>
  <c r="BM63" i="1"/>
  <c r="F51" i="2" s="1"/>
  <c r="M51" i="2" s="1"/>
  <c r="E51" i="2"/>
  <c r="L51" i="2" s="1"/>
  <c r="AI36" i="1"/>
  <c r="BA36" i="1" s="1"/>
  <c r="BL36" i="1"/>
  <c r="E19" i="2" s="1"/>
  <c r="L19" i="2" s="1"/>
  <c r="AK33" i="1"/>
  <c r="AL33" i="1"/>
  <c r="BL38" i="1"/>
  <c r="AU87" i="1"/>
  <c r="AT87" i="1"/>
  <c r="AS87" i="1"/>
  <c r="BN87" i="1" s="1"/>
  <c r="G84" i="2" s="1"/>
  <c r="N84" i="2" s="1"/>
  <c r="AB31" i="1"/>
  <c r="AC31" i="1"/>
  <c r="AA31" i="1"/>
  <c r="Z31" i="1"/>
  <c r="E41" i="2"/>
  <c r="L41" i="2" s="1"/>
  <c r="BL31" i="1"/>
  <c r="BL32" i="1"/>
  <c r="AS35" i="1"/>
  <c r="AR35" i="1"/>
  <c r="AB33" i="1"/>
  <c r="AC33" i="1"/>
  <c r="AA33" i="1"/>
  <c r="Z33" i="1"/>
  <c r="E83" i="2"/>
  <c r="L83" i="2" s="1"/>
  <c r="BM86" i="1"/>
  <c r="F83" i="2" s="1"/>
  <c r="M83" i="2" s="1"/>
  <c r="AU83" i="1"/>
  <c r="AT83" i="1"/>
  <c r="AS83" i="1"/>
  <c r="BN83" i="1" s="1"/>
  <c r="G80" i="2" s="1"/>
  <c r="N80" i="2" s="1"/>
  <c r="BM77" i="1"/>
  <c r="F71" i="2" s="1"/>
  <c r="M71" i="2" s="1"/>
  <c r="E71" i="2"/>
  <c r="L71" i="2" s="1"/>
  <c r="BL85" i="1"/>
  <c r="BL79" i="1"/>
  <c r="AI79" i="1"/>
  <c r="BL56" i="1"/>
  <c r="BM69" i="1"/>
  <c r="F60" i="2" s="1"/>
  <c r="M60" i="2" s="1"/>
  <c r="E60" i="2"/>
  <c r="L60" i="2" s="1"/>
  <c r="AK31" i="1"/>
  <c r="AL31" i="1"/>
  <c r="BJ79" i="1"/>
  <c r="C73" i="2" s="1"/>
  <c r="J73" i="2" s="1"/>
  <c r="J75" i="2" s="1"/>
  <c r="BJ60" i="1"/>
  <c r="C48" i="2" s="1"/>
  <c r="J48" i="2" s="1"/>
  <c r="BJ59" i="1"/>
  <c r="C47" i="2" s="1"/>
  <c r="J47" i="2" s="1"/>
  <c r="BJ31" i="1"/>
  <c r="C17" i="2" s="1"/>
  <c r="J17" i="2" s="1"/>
  <c r="BL34" i="1"/>
  <c r="BJ63" i="1"/>
  <c r="C51" i="2" s="1"/>
  <c r="J51" i="2" s="1"/>
  <c r="BJ69" i="1"/>
  <c r="C60" i="2" s="1"/>
  <c r="J60" i="2" s="1"/>
  <c r="AT85" i="1"/>
  <c r="AS85" i="1"/>
  <c r="BN85" i="1" s="1"/>
  <c r="G82" i="2" s="1"/>
  <c r="N82" i="2" s="1"/>
  <c r="AU85" i="1"/>
  <c r="AB29" i="1"/>
  <c r="AC29" i="1"/>
  <c r="Z29" i="1"/>
  <c r="AA29" i="1"/>
  <c r="AK83" i="1"/>
  <c r="AL83" i="1"/>
  <c r="BM78" i="1"/>
  <c r="F72" i="2" s="1"/>
  <c r="M72" i="2" s="1"/>
  <c r="E72" i="2"/>
  <c r="L72" i="2" s="1"/>
  <c r="BM67" i="1"/>
  <c r="F58" i="2" s="1"/>
  <c r="E58" i="2"/>
  <c r="BM68" i="1"/>
  <c r="F59" i="2" s="1"/>
  <c r="M59" i="2" s="1"/>
  <c r="E59" i="2"/>
  <c r="L59" i="2" s="1"/>
  <c r="BM59" i="1"/>
  <c r="F47" i="2" s="1"/>
  <c r="E47" i="2"/>
  <c r="G12" i="4"/>
  <c r="G37" i="4" s="1"/>
  <c r="G62" i="4" s="1"/>
  <c r="F12" i="4"/>
  <c r="F37" i="4" s="1"/>
  <c r="F62" i="4" s="1"/>
  <c r="BC133" i="1"/>
  <c r="J20" i="13" s="1"/>
  <c r="BE87" i="1"/>
  <c r="AJ54" i="1"/>
  <c r="AL53" i="1"/>
  <c r="AK53" i="1"/>
  <c r="AJ53" i="1"/>
  <c r="AK55" i="1"/>
  <c r="AL55" i="1"/>
  <c r="AJ55" i="1"/>
  <c r="AL52" i="1"/>
  <c r="AK52" i="1"/>
  <c r="AJ52" i="1"/>
  <c r="BM52" i="1" s="1"/>
  <c r="F38" i="2" s="1"/>
  <c r="M38" i="2" s="1"/>
  <c r="AL51" i="1"/>
  <c r="AK51" i="1"/>
  <c r="AJ51" i="1"/>
  <c r="L62" i="21"/>
  <c r="L62" i="29"/>
  <c r="K61" i="27"/>
  <c r="V7" i="2"/>
  <c r="W7" i="2" s="1"/>
  <c r="K112" i="27"/>
  <c r="K117" i="27" s="1"/>
  <c r="K118" i="27" s="1"/>
  <c r="Q9" i="2"/>
  <c r="O63" i="24"/>
  <c r="Q6" i="2"/>
  <c r="K62" i="21"/>
  <c r="U11" i="2"/>
  <c r="P100" i="27"/>
  <c r="P105" i="27" s="1"/>
  <c r="M112" i="27" s="1"/>
  <c r="K14" i="1" s="1"/>
  <c r="BL14" i="1" s="1"/>
  <c r="J76" i="1"/>
  <c r="AI35" i="1"/>
  <c r="BM35" i="1" s="1"/>
  <c r="AA70" i="1"/>
  <c r="BB70" i="1" s="1"/>
  <c r="Z70" i="1"/>
  <c r="BB46" i="1"/>
  <c r="AA62" i="1"/>
  <c r="BB62" i="1" s="1"/>
  <c r="Z62" i="1"/>
  <c r="V37" i="2"/>
  <c r="W37" i="2" s="1"/>
  <c r="J51" i="1"/>
  <c r="BC40" i="1"/>
  <c r="BD40" i="1"/>
  <c r="BD36" i="1"/>
  <c r="BC46" i="1"/>
  <c r="BD32" i="1"/>
  <c r="BC38" i="1"/>
  <c r="BC36" i="1"/>
  <c r="J86" i="2"/>
  <c r="V41" i="2"/>
  <c r="W41" i="2" s="1"/>
  <c r="V84" i="2"/>
  <c r="W84" i="2" s="1"/>
  <c r="J77" i="1"/>
  <c r="V81" i="2"/>
  <c r="W81" i="2" s="1"/>
  <c r="J80" i="1"/>
  <c r="J78" i="1"/>
  <c r="V38" i="2"/>
  <c r="W38" i="2" s="1"/>
  <c r="BC32" i="1"/>
  <c r="P102" i="24"/>
  <c r="P107" i="24" s="1"/>
  <c r="L117" i="24" s="1"/>
  <c r="K114" i="24"/>
  <c r="I10" i="1" s="1"/>
  <c r="V70" i="2"/>
  <c r="BH76" i="1" s="1"/>
  <c r="V69" i="2"/>
  <c r="W69" i="2" s="1"/>
  <c r="W60" i="2"/>
  <c r="V72" i="2"/>
  <c r="BH78" i="1" s="1"/>
  <c r="H31" i="5"/>
  <c r="J10" i="3"/>
  <c r="H32" i="5"/>
  <c r="H29" i="5"/>
  <c r="H24" i="5"/>
  <c r="H27" i="5"/>
  <c r="H26" i="5"/>
  <c r="H25" i="5"/>
  <c r="H30" i="5"/>
  <c r="H33" i="5"/>
  <c r="H23" i="5"/>
  <c r="H28" i="5"/>
  <c r="R11" i="2"/>
  <c r="AV107" i="1"/>
  <c r="V80" i="2"/>
  <c r="W80" i="2" s="1"/>
  <c r="R8" i="1"/>
  <c r="O8" i="1"/>
  <c r="K118" i="21"/>
  <c r="K119" i="21" s="1"/>
  <c r="S8" i="1"/>
  <c r="T8" i="1"/>
  <c r="N8" i="1"/>
  <c r="P8" i="1"/>
  <c r="U8" i="1"/>
  <c r="P106" i="21"/>
  <c r="M113" i="21" s="1"/>
  <c r="V85" i="2"/>
  <c r="K107" i="29"/>
  <c r="P102" i="29"/>
  <c r="L7" i="15"/>
  <c r="BE86" i="1"/>
  <c r="J75" i="1"/>
  <c r="J88" i="1"/>
  <c r="W50" i="2"/>
  <c r="V83" i="2"/>
  <c r="W83" i="2" s="1"/>
  <c r="L95" i="29"/>
  <c r="L98" i="29" s="1"/>
  <c r="J83" i="1"/>
  <c r="V74" i="2"/>
  <c r="P118" i="19"/>
  <c r="W58" i="2"/>
  <c r="W48" i="2"/>
  <c r="W61" i="2"/>
  <c r="V82" i="2"/>
  <c r="W82" i="2" s="1"/>
  <c r="J85" i="1"/>
  <c r="J87" i="1"/>
  <c r="W59" i="2"/>
  <c r="J84" i="1"/>
  <c r="L120" i="19"/>
  <c r="L121" i="19" s="1"/>
  <c r="V73" i="2"/>
  <c r="W73" i="2" s="1"/>
  <c r="J79" i="1"/>
  <c r="R19" i="2"/>
  <c r="R75" i="2"/>
  <c r="P121" i="24"/>
  <c r="P123" i="24" s="1"/>
  <c r="P119" i="27"/>
  <c r="L123" i="29"/>
  <c r="L124" i="29" s="1"/>
  <c r="L123" i="24"/>
  <c r="L124" i="24" s="1"/>
  <c r="P120" i="21"/>
  <c r="P122" i="21" s="1"/>
  <c r="L122" i="21"/>
  <c r="L123" i="21" s="1"/>
  <c r="L95" i="24"/>
  <c r="L95" i="19"/>
  <c r="BE85" i="1"/>
  <c r="J86" i="1"/>
  <c r="L121" i="27"/>
  <c r="L122" i="27" s="1"/>
  <c r="R16" i="2"/>
  <c r="L94" i="21"/>
  <c r="R110" i="2"/>
  <c r="W49" i="2"/>
  <c r="R86" i="2"/>
  <c r="P121" i="29"/>
  <c r="W51" i="2"/>
  <c r="O116" i="19"/>
  <c r="O117" i="19" s="1"/>
  <c r="R113" i="2"/>
  <c r="H52" i="2"/>
  <c r="H63" i="2"/>
  <c r="J54" i="1"/>
  <c r="J52" i="1"/>
  <c r="R43" i="2"/>
  <c r="J55" i="1"/>
  <c r="J53" i="1"/>
  <c r="BC62" i="1"/>
  <c r="BD62" i="1"/>
  <c r="W62" i="2"/>
  <c r="R18" i="2"/>
  <c r="L93" i="27"/>
  <c r="BD70" i="1"/>
  <c r="BC70" i="1"/>
  <c r="AU7" i="1"/>
  <c r="L12" i="15"/>
  <c r="C86" i="2"/>
  <c r="O117" i="27"/>
  <c r="O118" i="27" s="1"/>
  <c r="AR7" i="1"/>
  <c r="AR107" i="1" s="1"/>
  <c r="AS7" i="1"/>
  <c r="AT7" i="1"/>
  <c r="AQ7" i="1"/>
  <c r="AQ107" i="1" s="1"/>
  <c r="AO7" i="1"/>
  <c r="AP7" i="1"/>
  <c r="AP107" i="1" s="1"/>
  <c r="O118" i="21"/>
  <c r="O119" i="21" s="1"/>
  <c r="O119" i="29"/>
  <c r="O120" i="29" s="1"/>
  <c r="BE84" i="1"/>
  <c r="K119" i="29"/>
  <c r="K120" i="29" s="1"/>
  <c r="L104" i="2"/>
  <c r="L115" i="2" s="1"/>
  <c r="T11" i="2"/>
  <c r="V5" i="2"/>
  <c r="W5" i="2" s="1"/>
  <c r="T9" i="4"/>
  <c r="E7" i="44"/>
  <c r="E7" i="15"/>
  <c r="C43" i="2"/>
  <c r="V17" i="2"/>
  <c r="BE46" i="1"/>
  <c r="W47" i="2"/>
  <c r="V53" i="2"/>
  <c r="BE44" i="1"/>
  <c r="BC35" i="1"/>
  <c r="BE47" i="1"/>
  <c r="BE31" i="1"/>
  <c r="BB113" i="1"/>
  <c r="G6" i="15"/>
  <c r="O10" i="15"/>
  <c r="M10" i="15"/>
  <c r="T22" i="2"/>
  <c r="AZ113" i="1"/>
  <c r="E6" i="15"/>
  <c r="V10" i="2"/>
  <c r="W10" i="2" s="1"/>
  <c r="V64" i="2"/>
  <c r="AU31" i="1"/>
  <c r="AT31" i="1"/>
  <c r="G7" i="15"/>
  <c r="BE45" i="1"/>
  <c r="BE55" i="1"/>
  <c r="F7" i="15"/>
  <c r="U22" i="2"/>
  <c r="BE53" i="1"/>
  <c r="D7" i="15"/>
  <c r="BE52" i="1"/>
  <c r="BD113" i="1"/>
  <c r="J6" i="15"/>
  <c r="Q22" i="2"/>
  <c r="D20" i="13"/>
  <c r="BE37" i="1"/>
  <c r="V20" i="2"/>
  <c r="BC113" i="1"/>
  <c r="I6" i="15"/>
  <c r="BE113" i="1"/>
  <c r="K6" i="15"/>
  <c r="N63" i="24"/>
  <c r="F6" i="15"/>
  <c r="AY113" i="1"/>
  <c r="D6" i="15"/>
  <c r="BE33" i="1"/>
  <c r="C7" i="15"/>
  <c r="BG96" i="1"/>
  <c r="BH96" i="1" s="1"/>
  <c r="AX113" i="1"/>
  <c r="BG91" i="1"/>
  <c r="C6" i="15"/>
  <c r="O104" i="2"/>
  <c r="U22" i="1"/>
  <c r="P22" i="1"/>
  <c r="S22" i="1"/>
  <c r="O22" i="1"/>
  <c r="N22" i="1"/>
  <c r="Q22" i="1"/>
  <c r="T22" i="1"/>
  <c r="R22" i="1"/>
  <c r="BE39" i="1"/>
  <c r="S22" i="2"/>
  <c r="BE35" i="1"/>
  <c r="C61" i="4"/>
  <c r="H61" i="4" s="1"/>
  <c r="H36" i="4"/>
  <c r="AR14" i="1"/>
  <c r="AV14" i="1"/>
  <c r="AV109" i="1" s="1"/>
  <c r="AQ14" i="1"/>
  <c r="AQ109" i="1" s="1"/>
  <c r="AT14" i="1"/>
  <c r="AO14" i="1"/>
  <c r="AU14" i="1"/>
  <c r="AP14" i="1"/>
  <c r="AP109" i="1" s="1"/>
  <c r="AS14" i="1"/>
  <c r="AT10" i="1"/>
  <c r="AO10" i="1"/>
  <c r="AR10" i="1"/>
  <c r="AQ10" i="1"/>
  <c r="AQ108" i="1" s="1"/>
  <c r="AP10" i="1"/>
  <c r="AP108" i="1" s="1"/>
  <c r="AS10" i="1"/>
  <c r="AV10" i="1"/>
  <c r="AV108" i="1" s="1"/>
  <c r="AU10" i="1"/>
  <c r="N7" i="1"/>
  <c r="T7" i="1"/>
  <c r="O7" i="1"/>
  <c r="R7" i="1"/>
  <c r="Q7" i="1"/>
  <c r="Q107" i="1" s="1"/>
  <c r="S7" i="1"/>
  <c r="U7" i="1"/>
  <c r="P7" i="1"/>
  <c r="AQ17" i="1"/>
  <c r="AU17" i="1"/>
  <c r="AP17" i="1"/>
  <c r="AT17" i="1"/>
  <c r="AR17" i="1"/>
  <c r="AO17" i="1"/>
  <c r="AS17" i="1"/>
  <c r="AV17" i="1"/>
  <c r="AP20" i="1"/>
  <c r="AP111" i="1" s="1"/>
  <c r="AT20" i="1"/>
  <c r="AU20" i="1"/>
  <c r="AV20" i="1"/>
  <c r="AV111" i="1" s="1"/>
  <c r="AO20" i="1"/>
  <c r="AQ20" i="1"/>
  <c r="AQ111" i="1" s="1"/>
  <c r="AR20" i="1"/>
  <c r="AS20" i="1"/>
  <c r="R20" i="1"/>
  <c r="N20" i="1"/>
  <c r="O20" i="1"/>
  <c r="P20" i="1"/>
  <c r="Q20" i="1"/>
  <c r="S20" i="1"/>
  <c r="T20" i="1"/>
  <c r="U20" i="1"/>
  <c r="P107" i="29" l="1"/>
  <c r="L114" i="29" s="1"/>
  <c r="J20" i="1" s="1"/>
  <c r="BA38" i="1"/>
  <c r="BK38" i="1"/>
  <c r="P123" i="29"/>
  <c r="P124" i="29" s="1"/>
  <c r="BA30" i="1"/>
  <c r="F35" i="5"/>
  <c r="M35" i="5" s="1"/>
  <c r="BA34" i="1"/>
  <c r="BG34" i="1" s="1"/>
  <c r="BH34" i="1" s="1"/>
  <c r="BB38" i="1"/>
  <c r="P121" i="27"/>
  <c r="P122" i="27" s="1"/>
  <c r="P120" i="19"/>
  <c r="P121" i="19" s="1"/>
  <c r="N7" i="44"/>
  <c r="P61" i="27"/>
  <c r="BJ22" i="1"/>
  <c r="AO109" i="1"/>
  <c r="BN14" i="1"/>
  <c r="G7" i="2" s="1"/>
  <c r="N7" i="2" s="1"/>
  <c r="BJ8" i="1"/>
  <c r="K62" i="29"/>
  <c r="P62" i="29" s="1"/>
  <c r="BJ20" i="1"/>
  <c r="BN17" i="1"/>
  <c r="G8" i="2" s="1"/>
  <c r="N8" i="2" s="1"/>
  <c r="N17" i="44"/>
  <c r="U7" i="4"/>
  <c r="W7" i="4" s="1"/>
  <c r="U6" i="4"/>
  <c r="AO111" i="1"/>
  <c r="BN20" i="1"/>
  <c r="G9" i="2" s="1"/>
  <c r="N9" i="2" s="1"/>
  <c r="BJ7" i="1"/>
  <c r="AO108" i="1"/>
  <c r="BN10" i="1"/>
  <c r="G6" i="2" s="1"/>
  <c r="N24" i="44"/>
  <c r="AO107" i="1"/>
  <c r="BN7" i="1"/>
  <c r="G5" i="2" s="1"/>
  <c r="N5" i="2" s="1"/>
  <c r="BB33" i="1"/>
  <c r="G64" i="2"/>
  <c r="G53" i="2"/>
  <c r="BH77" i="1"/>
  <c r="BM34" i="1"/>
  <c r="BM30" i="1"/>
  <c r="BB31" i="1"/>
  <c r="BM32" i="1"/>
  <c r="BN35" i="1"/>
  <c r="G19" i="2" s="1"/>
  <c r="N19" i="2" s="1"/>
  <c r="G75" i="2"/>
  <c r="O83" i="2"/>
  <c r="BB37" i="1"/>
  <c r="O70" i="2"/>
  <c r="BB35" i="1"/>
  <c r="O74" i="2"/>
  <c r="BD29" i="1"/>
  <c r="BC29" i="1"/>
  <c r="H70" i="2"/>
  <c r="H69" i="2"/>
  <c r="O85" i="2"/>
  <c r="BB29" i="1"/>
  <c r="BK59" i="1"/>
  <c r="D47" i="2" s="1"/>
  <c r="K47" i="2" s="1"/>
  <c r="BK45" i="1"/>
  <c r="D29" i="2" s="1"/>
  <c r="K29" i="2" s="1"/>
  <c r="BK71" i="1"/>
  <c r="D62" i="2" s="1"/>
  <c r="K62" i="2" s="1"/>
  <c r="O62" i="2" s="1"/>
  <c r="M20" i="13"/>
  <c r="G17" i="44"/>
  <c r="G24" i="44" s="1"/>
  <c r="BG30" i="1"/>
  <c r="BH30" i="1" s="1"/>
  <c r="BA59" i="1"/>
  <c r="BG59" i="1" s="1"/>
  <c r="H74" i="2"/>
  <c r="G28" i="7" s="1"/>
  <c r="G38" i="7" s="1"/>
  <c r="O72" i="2"/>
  <c r="O71" i="2"/>
  <c r="BG67" i="1"/>
  <c r="BH67" i="1" s="1"/>
  <c r="AC51" i="1"/>
  <c r="BD51" i="1" s="1"/>
  <c r="AB51" i="1"/>
  <c r="BC51" i="1" s="1"/>
  <c r="AA51" i="1"/>
  <c r="BB51" i="1" s="1"/>
  <c r="Z51" i="1"/>
  <c r="AB55" i="1"/>
  <c r="BC55" i="1" s="1"/>
  <c r="AC55" i="1"/>
  <c r="BD55" i="1" s="1"/>
  <c r="AA55" i="1"/>
  <c r="BB55" i="1" s="1"/>
  <c r="Z55" i="1"/>
  <c r="AC87" i="1"/>
  <c r="BD87" i="1" s="1"/>
  <c r="AB87" i="1"/>
  <c r="BC87" i="1" s="1"/>
  <c r="Z87" i="1"/>
  <c r="AA87" i="1"/>
  <c r="BB87" i="1" s="1"/>
  <c r="BA70" i="1"/>
  <c r="BG70" i="1" s="1"/>
  <c r="BH70" i="1" s="1"/>
  <c r="BK70" i="1"/>
  <c r="D61" i="2" s="1"/>
  <c r="BK69" i="1"/>
  <c r="D60" i="2" s="1"/>
  <c r="K60" i="2" s="1"/>
  <c r="O60" i="2" s="1"/>
  <c r="AB53" i="1"/>
  <c r="BC53" i="1" s="1"/>
  <c r="AC53" i="1"/>
  <c r="BD53" i="1" s="1"/>
  <c r="AA53" i="1"/>
  <c r="BB53" i="1" s="1"/>
  <c r="Z53" i="1"/>
  <c r="AC84" i="1"/>
  <c r="BD84" i="1" s="1"/>
  <c r="AB84" i="1"/>
  <c r="BC84" i="1" s="1"/>
  <c r="Z84" i="1"/>
  <c r="AA84" i="1"/>
  <c r="BB84" i="1" s="1"/>
  <c r="BA62" i="1"/>
  <c r="BG62" i="1" s="1"/>
  <c r="BK62" i="1"/>
  <c r="D50" i="2" s="1"/>
  <c r="K50" i="2" s="1"/>
  <c r="O50" i="2" s="1"/>
  <c r="BK68" i="1"/>
  <c r="D59" i="2" s="1"/>
  <c r="K59" i="2" s="1"/>
  <c r="O59" i="2" s="1"/>
  <c r="BK44" i="1"/>
  <c r="D28" i="2" s="1"/>
  <c r="K28" i="2" s="1"/>
  <c r="BK43" i="1"/>
  <c r="D27" i="2" s="1"/>
  <c r="AB52" i="1"/>
  <c r="BC52" i="1" s="1"/>
  <c r="AC52" i="1"/>
  <c r="BD52" i="1" s="1"/>
  <c r="AA52" i="1"/>
  <c r="BB52" i="1" s="1"/>
  <c r="Z52" i="1"/>
  <c r="Z79" i="1"/>
  <c r="AA79" i="1"/>
  <c r="BB79" i="1" s="1"/>
  <c r="AC79" i="1"/>
  <c r="BD79" i="1" s="1"/>
  <c r="AB79" i="1"/>
  <c r="BC79" i="1" s="1"/>
  <c r="AC85" i="1"/>
  <c r="BD85" i="1" s="1"/>
  <c r="Z85" i="1"/>
  <c r="AB85" i="1"/>
  <c r="BC85" i="1" s="1"/>
  <c r="AA85" i="1"/>
  <c r="BB85" i="1" s="1"/>
  <c r="AC83" i="1"/>
  <c r="BD83" i="1" s="1"/>
  <c r="AB83" i="1"/>
  <c r="BC83" i="1" s="1"/>
  <c r="AA83" i="1"/>
  <c r="BB83" i="1" s="1"/>
  <c r="Z83" i="1"/>
  <c r="BK61" i="1"/>
  <c r="D49" i="2" s="1"/>
  <c r="BK60" i="1"/>
  <c r="D48" i="2" s="1"/>
  <c r="BK63" i="1"/>
  <c r="D51" i="2" s="1"/>
  <c r="K51" i="2" s="1"/>
  <c r="O51" i="2" s="1"/>
  <c r="BK67" i="1"/>
  <c r="D58" i="2" s="1"/>
  <c r="BK47" i="1"/>
  <c r="D31" i="2" s="1"/>
  <c r="K31" i="2" s="1"/>
  <c r="BA61" i="1"/>
  <c r="J22" i="2"/>
  <c r="J53" i="2"/>
  <c r="BM56" i="1"/>
  <c r="F42" i="2" s="1"/>
  <c r="E42" i="2"/>
  <c r="BM85" i="1"/>
  <c r="F82" i="2" s="1"/>
  <c r="M82" i="2" s="1"/>
  <c r="E82" i="2"/>
  <c r="BM51" i="1"/>
  <c r="F37" i="2" s="1"/>
  <c r="L69" i="2"/>
  <c r="H85" i="2"/>
  <c r="H28" i="7" s="1"/>
  <c r="H38" i="7" s="1"/>
  <c r="H72" i="2"/>
  <c r="C75" i="2"/>
  <c r="AU107" i="1"/>
  <c r="H71" i="2"/>
  <c r="BK31" i="1"/>
  <c r="D17" i="2" s="1"/>
  <c r="K17" i="2" s="1"/>
  <c r="BA31" i="1"/>
  <c r="BM38" i="1"/>
  <c r="J64" i="2"/>
  <c r="L47" i="2"/>
  <c r="L53" i="2" s="1"/>
  <c r="E53" i="2"/>
  <c r="L58" i="2"/>
  <c r="E64" i="2"/>
  <c r="N86" i="2"/>
  <c r="E17" i="2"/>
  <c r="L17" i="2" s="1"/>
  <c r="BM31" i="1"/>
  <c r="BM37" i="1"/>
  <c r="E20" i="2"/>
  <c r="L20" i="2" s="1"/>
  <c r="E16" i="2"/>
  <c r="L16" i="2" s="1"/>
  <c r="BM29" i="1"/>
  <c r="E80" i="2"/>
  <c r="BM83" i="1"/>
  <c r="F80" i="2" s="1"/>
  <c r="BK37" i="1"/>
  <c r="D20" i="2" s="1"/>
  <c r="K20" i="2" s="1"/>
  <c r="BA37" i="1"/>
  <c r="BM84" i="1"/>
  <c r="F81" i="2" s="1"/>
  <c r="M81" i="2" s="1"/>
  <c r="E81" i="2"/>
  <c r="E18" i="2"/>
  <c r="L18" i="2" s="1"/>
  <c r="BM33" i="1"/>
  <c r="H83" i="2"/>
  <c r="H26" i="7" s="1"/>
  <c r="H33" i="7" s="1"/>
  <c r="C53" i="2"/>
  <c r="BC31" i="1"/>
  <c r="C64" i="2"/>
  <c r="G86" i="2"/>
  <c r="BA35" i="1"/>
  <c r="M47" i="2"/>
  <c r="M53" i="2" s="1"/>
  <c r="F53" i="2"/>
  <c r="M58" i="2"/>
  <c r="M64" i="2" s="1"/>
  <c r="F64" i="2"/>
  <c r="BK29" i="1"/>
  <c r="D16" i="2" s="1"/>
  <c r="K16" i="2" s="1"/>
  <c r="BA29" i="1"/>
  <c r="BM79" i="1"/>
  <c r="F73" i="2" s="1"/>
  <c r="E73" i="2"/>
  <c r="L73" i="2" s="1"/>
  <c r="BK33" i="1"/>
  <c r="D18" i="2" s="1"/>
  <c r="K18" i="2" s="1"/>
  <c r="BA33" i="1"/>
  <c r="BM55" i="1"/>
  <c r="F41" i="2" s="1"/>
  <c r="M41" i="2" s="1"/>
  <c r="BM36" i="1"/>
  <c r="F19" i="2" s="1"/>
  <c r="L37" i="2"/>
  <c r="BK35" i="1"/>
  <c r="D19" i="2" s="1"/>
  <c r="K19" i="2" s="1"/>
  <c r="BM87" i="1"/>
  <c r="F84" i="2" s="1"/>
  <c r="M84" i="2" s="1"/>
  <c r="E84" i="2"/>
  <c r="J66" i="13"/>
  <c r="I12" i="4" s="1"/>
  <c r="N12" i="4" s="1"/>
  <c r="BG133" i="1"/>
  <c r="AS107" i="1"/>
  <c r="AT107" i="1"/>
  <c r="P62" i="21"/>
  <c r="R112" i="2"/>
  <c r="L96" i="19" s="1"/>
  <c r="I14" i="1"/>
  <c r="U14" i="1" s="1"/>
  <c r="U109" i="1" s="1"/>
  <c r="V9" i="2"/>
  <c r="W9" i="2" s="1"/>
  <c r="K63" i="24"/>
  <c r="P63" i="24" s="1"/>
  <c r="V6" i="2"/>
  <c r="W6" i="2" s="1"/>
  <c r="BB86" i="1"/>
  <c r="BA86" i="1"/>
  <c r="AA54" i="1"/>
  <c r="BB54" i="1" s="1"/>
  <c r="Z54" i="1"/>
  <c r="BH75" i="1"/>
  <c r="W70" i="2"/>
  <c r="BC69" i="1"/>
  <c r="BD39" i="1"/>
  <c r="BD68" i="1"/>
  <c r="BC72" i="1"/>
  <c r="BC37" i="1"/>
  <c r="BC39" i="1"/>
  <c r="BD64" i="1"/>
  <c r="W72" i="2"/>
  <c r="BC68" i="1"/>
  <c r="BD72" i="1"/>
  <c r="BD61" i="1"/>
  <c r="BC60" i="1"/>
  <c r="BD69" i="1"/>
  <c r="BC64" i="1"/>
  <c r="BC61" i="1"/>
  <c r="BD60" i="1"/>
  <c r="BD56" i="1"/>
  <c r="BD46" i="1"/>
  <c r="BC56" i="1"/>
  <c r="BD37" i="1"/>
  <c r="AU109" i="1"/>
  <c r="BC33" i="1"/>
  <c r="BD33" i="1"/>
  <c r="BD35" i="1"/>
  <c r="Z25" i="1"/>
  <c r="AU111" i="1"/>
  <c r="BD86" i="1"/>
  <c r="BC88" i="1"/>
  <c r="AT111" i="1"/>
  <c r="AT109" i="1"/>
  <c r="V21" i="2"/>
  <c r="O21" i="2"/>
  <c r="V18" i="2"/>
  <c r="W18" i="2" s="1"/>
  <c r="V16" i="2"/>
  <c r="W16" i="2" s="1"/>
  <c r="AT108" i="1"/>
  <c r="BD31" i="1"/>
  <c r="AU108" i="1"/>
  <c r="BG36" i="1"/>
  <c r="BH36" i="1" s="1"/>
  <c r="K119" i="24"/>
  <c r="K120" i="24" s="1"/>
  <c r="O107" i="1"/>
  <c r="V86" i="2"/>
  <c r="P123" i="21"/>
  <c r="S107" i="1"/>
  <c r="K10" i="3"/>
  <c r="L10" i="3" s="1"/>
  <c r="I31" i="5"/>
  <c r="I29" i="5"/>
  <c r="I27" i="5"/>
  <c r="I24" i="5"/>
  <c r="I28" i="5"/>
  <c r="I26" i="5"/>
  <c r="I33" i="5"/>
  <c r="I23" i="5"/>
  <c r="I25" i="5"/>
  <c r="I30" i="5"/>
  <c r="I32" i="5"/>
  <c r="H34" i="5"/>
  <c r="H35" i="5" s="1"/>
  <c r="P107" i="1"/>
  <c r="U107" i="1"/>
  <c r="L116" i="21"/>
  <c r="N114" i="21"/>
  <c r="N116" i="21"/>
  <c r="M114" i="21"/>
  <c r="M117" i="21"/>
  <c r="K9" i="1" s="1"/>
  <c r="BL9" i="1" s="1"/>
  <c r="L115" i="21"/>
  <c r="J8" i="1" s="1"/>
  <c r="L113" i="21"/>
  <c r="M116" i="21"/>
  <c r="T107" i="1"/>
  <c r="L117" i="21"/>
  <c r="J9" i="1" s="1"/>
  <c r="N117" i="21"/>
  <c r="L9" i="1" s="1"/>
  <c r="M115" i="21"/>
  <c r="K8" i="1" s="1"/>
  <c r="BL8" i="1" s="1"/>
  <c r="N107" i="1"/>
  <c r="N115" i="21"/>
  <c r="L8" i="1" s="1"/>
  <c r="L114" i="21"/>
  <c r="BG32" i="1"/>
  <c r="BH32" i="1" s="1"/>
  <c r="L96" i="29"/>
  <c r="L99" i="29"/>
  <c r="BD88" i="1"/>
  <c r="BH80" i="1"/>
  <c r="W20" i="2"/>
  <c r="P124" i="24"/>
  <c r="V75" i="2"/>
  <c r="W17" i="2"/>
  <c r="V19" i="2"/>
  <c r="W19" i="2" s="1"/>
  <c r="L93" i="19"/>
  <c r="BG40" i="1"/>
  <c r="L96" i="24"/>
  <c r="L98" i="24"/>
  <c r="L99" i="24" s="1"/>
  <c r="AS108" i="1"/>
  <c r="R109" i="2"/>
  <c r="AR109" i="1"/>
  <c r="L97" i="21"/>
  <c r="L95" i="21"/>
  <c r="BG63" i="1"/>
  <c r="BH63" i="1" s="1"/>
  <c r="L94" i="27"/>
  <c r="L96" i="27"/>
  <c r="BC54" i="1"/>
  <c r="BD54" i="1"/>
  <c r="R22" i="2"/>
  <c r="R111" i="2"/>
  <c r="N115" i="24"/>
  <c r="L11" i="1" s="1"/>
  <c r="G7" i="44"/>
  <c r="V9" i="4"/>
  <c r="N114" i="24"/>
  <c r="L10" i="1" s="1"/>
  <c r="M116" i="24"/>
  <c r="K12" i="1" s="1"/>
  <c r="BL12" i="1" s="1"/>
  <c r="M117" i="24"/>
  <c r="N118" i="24"/>
  <c r="L13" i="1" s="1"/>
  <c r="L118" i="24"/>
  <c r="J13" i="1" s="1"/>
  <c r="L116" i="24"/>
  <c r="J12" i="1" s="1"/>
  <c r="Z12" i="1" s="1"/>
  <c r="O115" i="2"/>
  <c r="AR111" i="1"/>
  <c r="AR108" i="1"/>
  <c r="N116" i="24"/>
  <c r="L12" i="1" s="1"/>
  <c r="M118" i="24"/>
  <c r="K13" i="1" s="1"/>
  <c r="M115" i="24"/>
  <c r="K11" i="1" s="1"/>
  <c r="BL11" i="1" s="1"/>
  <c r="BG71" i="1"/>
  <c r="BH71" i="1" s="1"/>
  <c r="L6" i="15"/>
  <c r="AS111" i="1"/>
  <c r="AS109" i="1"/>
  <c r="AU24" i="1"/>
  <c r="AQ24" i="1"/>
  <c r="AQ112" i="1" s="1"/>
  <c r="AV24" i="1"/>
  <c r="AV112" i="1" s="1"/>
  <c r="AP24" i="1"/>
  <c r="AP112" i="1" s="1"/>
  <c r="AT24" i="1"/>
  <c r="AR24" i="1"/>
  <c r="AR112" i="1" s="1"/>
  <c r="AO24" i="1"/>
  <c r="AS24" i="1"/>
  <c r="AS112" i="1" s="1"/>
  <c r="R112" i="1"/>
  <c r="Q112" i="1"/>
  <c r="P112" i="1"/>
  <c r="O112" i="1"/>
  <c r="U112" i="1"/>
  <c r="N112" i="1"/>
  <c r="BH91" i="1"/>
  <c r="H7" i="15"/>
  <c r="C22" i="2"/>
  <c r="I20" i="13"/>
  <c r="D66" i="13"/>
  <c r="H6" i="15"/>
  <c r="N116" i="27"/>
  <c r="L16" i="1" s="1"/>
  <c r="M115" i="27"/>
  <c r="M114" i="27"/>
  <c r="K15" i="1" s="1"/>
  <c r="BL15" i="1" s="1"/>
  <c r="M116" i="27"/>
  <c r="K16" i="1" s="1"/>
  <c r="BL16" i="1" s="1"/>
  <c r="N115" i="27"/>
  <c r="N114" i="27"/>
  <c r="L15" i="1" s="1"/>
  <c r="N113" i="27"/>
  <c r="C114" i="2"/>
  <c r="N10" i="1"/>
  <c r="Q10" i="1"/>
  <c r="Q108" i="1" s="1"/>
  <c r="P10" i="1"/>
  <c r="P108" i="1" s="1"/>
  <c r="O10" i="1"/>
  <c r="O108" i="1" s="1"/>
  <c r="T10" i="1"/>
  <c r="T108" i="1" s="1"/>
  <c r="S10" i="1"/>
  <c r="S108" i="1" s="1"/>
  <c r="U10" i="1"/>
  <c r="U108" i="1" s="1"/>
  <c r="R10" i="1"/>
  <c r="K7" i="1"/>
  <c r="BL7" i="1" s="1"/>
  <c r="S111" i="1"/>
  <c r="N111" i="1"/>
  <c r="AV110" i="1"/>
  <c r="AT110" i="1"/>
  <c r="Q111" i="1"/>
  <c r="AS110" i="1"/>
  <c r="U111" i="1"/>
  <c r="P111" i="1"/>
  <c r="AO110" i="1"/>
  <c r="AU110" i="1"/>
  <c r="AP110" i="1"/>
  <c r="T111" i="1"/>
  <c r="O111" i="1"/>
  <c r="AR110" i="1"/>
  <c r="AQ110" i="1"/>
  <c r="BG38" i="1" l="1"/>
  <c r="BH38" i="1" s="1"/>
  <c r="M114" i="29"/>
  <c r="K20" i="1" s="1"/>
  <c r="BL20" i="1" s="1"/>
  <c r="N114" i="29"/>
  <c r="L20" i="1" s="1"/>
  <c r="AM20" i="1" s="1"/>
  <c r="M117" i="29"/>
  <c r="M119" i="29" s="1"/>
  <c r="M120" i="29" s="1"/>
  <c r="N118" i="29"/>
  <c r="L23" i="1" s="1"/>
  <c r="N115" i="29"/>
  <c r="L21" i="1" s="1"/>
  <c r="L117" i="29"/>
  <c r="N117" i="29"/>
  <c r="M118" i="29"/>
  <c r="K23" i="1" s="1"/>
  <c r="BL23" i="1" s="1"/>
  <c r="L118" i="29"/>
  <c r="J23" i="1" s="1"/>
  <c r="M115" i="29"/>
  <c r="K21" i="1" s="1"/>
  <c r="BL21" i="1" s="1"/>
  <c r="L115" i="29"/>
  <c r="J21" i="1" s="1"/>
  <c r="Z21" i="1" s="1"/>
  <c r="N116" i="29"/>
  <c r="L22" i="1" s="1"/>
  <c r="L116" i="29"/>
  <c r="J22" i="1" s="1"/>
  <c r="M116" i="29"/>
  <c r="K22" i="1" s="1"/>
  <c r="BL22" i="1" s="1"/>
  <c r="G113" i="2"/>
  <c r="G111" i="2"/>
  <c r="G109" i="2"/>
  <c r="C9" i="2"/>
  <c r="J9" i="2" s="1"/>
  <c r="E9" i="2"/>
  <c r="L9" i="2" s="1"/>
  <c r="U8" i="4"/>
  <c r="W6" i="4"/>
  <c r="W8" i="4" s="1"/>
  <c r="AO112" i="1"/>
  <c r="AO114" i="1" s="1"/>
  <c r="BN24" i="1"/>
  <c r="G10" i="2" s="1"/>
  <c r="G11" i="2" s="1"/>
  <c r="AK13" i="1"/>
  <c r="AF13" i="1"/>
  <c r="AJ13" i="1"/>
  <c r="AI13" i="1"/>
  <c r="AM13" i="1"/>
  <c r="AH13" i="1"/>
  <c r="AL13" i="1"/>
  <c r="AG13" i="1"/>
  <c r="BL13" i="1"/>
  <c r="C5" i="2"/>
  <c r="E5" i="2"/>
  <c r="N108" i="1"/>
  <c r="BJ10" i="1"/>
  <c r="C6" i="2" s="1"/>
  <c r="E7" i="2"/>
  <c r="L7" i="2" s="1"/>
  <c r="AB13" i="1"/>
  <c r="AA13" i="1"/>
  <c r="AD13" i="1"/>
  <c r="AC13" i="1"/>
  <c r="N6" i="2"/>
  <c r="G110" i="2"/>
  <c r="M10" i="3"/>
  <c r="K30" i="5"/>
  <c r="K27" i="5"/>
  <c r="K32" i="5"/>
  <c r="K29" i="5"/>
  <c r="K24" i="5"/>
  <c r="K31" i="5"/>
  <c r="K26" i="5"/>
  <c r="K23" i="5"/>
  <c r="K33" i="5"/>
  <c r="K28" i="5"/>
  <c r="K25" i="5"/>
  <c r="F18" i="2"/>
  <c r="M18" i="2" s="1"/>
  <c r="O18" i="2" s="1"/>
  <c r="F16" i="2"/>
  <c r="M16" i="2" s="1"/>
  <c r="O16" i="2" s="1"/>
  <c r="N22" i="2"/>
  <c r="G22" i="2"/>
  <c r="F17" i="2"/>
  <c r="M17" i="2" s="1"/>
  <c r="O17" i="2" s="1"/>
  <c r="BG29" i="1"/>
  <c r="D6" i="7" s="1"/>
  <c r="BG68" i="1"/>
  <c r="BH68" i="1" s="1"/>
  <c r="G112" i="2"/>
  <c r="F20" i="2"/>
  <c r="M20" i="2" s="1"/>
  <c r="O20" i="2" s="1"/>
  <c r="BK79" i="1"/>
  <c r="D73" i="2" s="1"/>
  <c r="K73" i="2" s="1"/>
  <c r="K75" i="2" s="1"/>
  <c r="BK87" i="1"/>
  <c r="D84" i="2" s="1"/>
  <c r="K84" i="2" s="1"/>
  <c r="H62" i="2"/>
  <c r="BA79" i="1"/>
  <c r="BG79" i="1" s="1"/>
  <c r="H47" i="2"/>
  <c r="H51" i="2"/>
  <c r="H59" i="2"/>
  <c r="M66" i="13"/>
  <c r="G6" i="7"/>
  <c r="BH59" i="1"/>
  <c r="H50" i="2"/>
  <c r="E22" i="2"/>
  <c r="K48" i="2"/>
  <c r="D53" i="2"/>
  <c r="H48" i="2"/>
  <c r="G24" i="7" s="1"/>
  <c r="G37" i="7" s="1"/>
  <c r="BK53" i="1"/>
  <c r="D39" i="2" s="1"/>
  <c r="BK54" i="1"/>
  <c r="D40" i="2" s="1"/>
  <c r="H60" i="2"/>
  <c r="K49" i="2"/>
  <c r="O49" i="2" s="1"/>
  <c r="H49" i="2"/>
  <c r="BK85" i="1"/>
  <c r="D82" i="2" s="1"/>
  <c r="K82" i="2" s="1"/>
  <c r="BA85" i="1"/>
  <c r="BG85" i="1" s="1"/>
  <c r="BH85" i="1" s="1"/>
  <c r="BK84" i="1"/>
  <c r="D81" i="2" s="1"/>
  <c r="BA84" i="1"/>
  <c r="BG84" i="1" s="1"/>
  <c r="H7" i="7" s="1"/>
  <c r="K61" i="2"/>
  <c r="O61" i="2" s="1"/>
  <c r="H61" i="2"/>
  <c r="K58" i="2"/>
  <c r="O58" i="2" s="1"/>
  <c r="H58" i="2"/>
  <c r="D64" i="2"/>
  <c r="K27" i="2"/>
  <c r="D33" i="2"/>
  <c r="BK83" i="1"/>
  <c r="D80" i="2" s="1"/>
  <c r="H80" i="2" s="1"/>
  <c r="H23" i="7" s="1"/>
  <c r="BA83" i="1"/>
  <c r="BG83" i="1" s="1"/>
  <c r="BK52" i="1"/>
  <c r="D38" i="2" s="1"/>
  <c r="BA52" i="1"/>
  <c r="BG52" i="1" s="1"/>
  <c r="BK55" i="1"/>
  <c r="D41" i="2" s="1"/>
  <c r="K41" i="2" s="1"/>
  <c r="BA55" i="1"/>
  <c r="BG55" i="1" s="1"/>
  <c r="BH55" i="1" s="1"/>
  <c r="BA87" i="1"/>
  <c r="BG87" i="1" s="1"/>
  <c r="H10" i="7" s="1"/>
  <c r="BK51" i="1"/>
  <c r="D37" i="2" s="1"/>
  <c r="H37" i="2" s="1"/>
  <c r="F23" i="7" s="1"/>
  <c r="BA51" i="1"/>
  <c r="BG51" i="1" s="1"/>
  <c r="M19" i="2"/>
  <c r="H19" i="2"/>
  <c r="D26" i="7" s="1"/>
  <c r="D33" i="7" s="1"/>
  <c r="AH11" i="1"/>
  <c r="AG11" i="1"/>
  <c r="AF11" i="1"/>
  <c r="AM11" i="1"/>
  <c r="AL11" i="1"/>
  <c r="AK11" i="1"/>
  <c r="AI11" i="1"/>
  <c r="AJ11" i="1"/>
  <c r="O69" i="2"/>
  <c r="L75" i="2"/>
  <c r="AH23" i="1"/>
  <c r="AG23" i="1"/>
  <c r="AF23" i="1"/>
  <c r="AM23" i="1"/>
  <c r="AJ23" i="1"/>
  <c r="AI23" i="1"/>
  <c r="AL23" i="1"/>
  <c r="AK23" i="1"/>
  <c r="AF21" i="1"/>
  <c r="AI21" i="1"/>
  <c r="AH9" i="1"/>
  <c r="AG9" i="1"/>
  <c r="AF9" i="1"/>
  <c r="AM9" i="1"/>
  <c r="AL9" i="1"/>
  <c r="AJ9" i="1"/>
  <c r="AK9" i="1"/>
  <c r="AI9" i="1"/>
  <c r="O47" i="2"/>
  <c r="AH16" i="1"/>
  <c r="AG16" i="1"/>
  <c r="AF16" i="1"/>
  <c r="AM16" i="1"/>
  <c r="AK16" i="1"/>
  <c r="AJ16" i="1"/>
  <c r="AI16" i="1"/>
  <c r="AL16" i="1"/>
  <c r="AH22" i="1"/>
  <c r="AG22" i="1"/>
  <c r="AH12" i="1"/>
  <c r="AG12" i="1"/>
  <c r="AF12" i="1"/>
  <c r="AM12" i="1"/>
  <c r="AL12" i="1"/>
  <c r="AK12" i="1"/>
  <c r="AI12" i="1"/>
  <c r="BA12" i="1" s="1"/>
  <c r="AJ12" i="1"/>
  <c r="AH8" i="1"/>
  <c r="AG8" i="1"/>
  <c r="AF8" i="1"/>
  <c r="AM8" i="1"/>
  <c r="AI8" i="1"/>
  <c r="AL8" i="1"/>
  <c r="AJ8" i="1"/>
  <c r="AK8" i="1"/>
  <c r="L84" i="2"/>
  <c r="L22" i="2"/>
  <c r="L64" i="2"/>
  <c r="L42" i="2"/>
  <c r="H42" i="2"/>
  <c r="F28" i="7" s="1"/>
  <c r="F38" i="7" s="1"/>
  <c r="L80" i="2"/>
  <c r="E86" i="2"/>
  <c r="L82" i="2"/>
  <c r="M73" i="2"/>
  <c r="M75" i="2" s="1"/>
  <c r="F75" i="2"/>
  <c r="M37" i="2"/>
  <c r="AH15" i="1"/>
  <c r="AG15" i="1"/>
  <c r="AF15" i="1"/>
  <c r="AM15" i="1"/>
  <c r="AL15" i="1"/>
  <c r="AJ15" i="1"/>
  <c r="AK15" i="1"/>
  <c r="AI15" i="1"/>
  <c r="AF20" i="1"/>
  <c r="AJ20" i="1"/>
  <c r="L81" i="2"/>
  <c r="M80" i="2"/>
  <c r="F86" i="2"/>
  <c r="E75" i="2"/>
  <c r="M42" i="2"/>
  <c r="P14" i="1"/>
  <c r="P109" i="1" s="1"/>
  <c r="S14" i="1"/>
  <c r="S109" i="1" s="1"/>
  <c r="N14" i="1"/>
  <c r="Q14" i="1"/>
  <c r="Q109" i="1" s="1"/>
  <c r="O14" i="1"/>
  <c r="O109" i="1" s="1"/>
  <c r="T14" i="1"/>
  <c r="T109" i="1" s="1"/>
  <c r="R14" i="1"/>
  <c r="BG72" i="1"/>
  <c r="BH72" i="1" s="1"/>
  <c r="BG61" i="1"/>
  <c r="BH61" i="1" s="1"/>
  <c r="X25" i="1"/>
  <c r="AD25" i="1"/>
  <c r="BG64" i="1"/>
  <c r="BG69" i="1"/>
  <c r="BH69" i="1" s="1"/>
  <c r="BG56" i="1"/>
  <c r="F11" i="7" s="1"/>
  <c r="Y25" i="1"/>
  <c r="AC25" i="1"/>
  <c r="AB25" i="1"/>
  <c r="W25" i="1"/>
  <c r="AA25" i="1"/>
  <c r="K22" i="2"/>
  <c r="BC86" i="1"/>
  <c r="BG86" i="1" s="1"/>
  <c r="I34" i="5"/>
  <c r="I35" i="5" s="1"/>
  <c r="J31" i="5"/>
  <c r="M31" i="5" s="1"/>
  <c r="J32" i="5"/>
  <c r="M32" i="5" s="1"/>
  <c r="J30" i="5"/>
  <c r="M30" i="5" s="1"/>
  <c r="J28" i="5"/>
  <c r="M28" i="5" s="1"/>
  <c r="J24" i="5"/>
  <c r="M24" i="5" s="1"/>
  <c r="J23" i="5"/>
  <c r="M23" i="5" s="1"/>
  <c r="J29" i="5"/>
  <c r="M29" i="5" s="1"/>
  <c r="J27" i="5"/>
  <c r="M27" i="5" s="1"/>
  <c r="J33" i="5"/>
  <c r="M33" i="5" s="1"/>
  <c r="J25" i="5"/>
  <c r="M25" i="5" s="1"/>
  <c r="J26" i="5"/>
  <c r="M26" i="5" s="1"/>
  <c r="P107" i="21"/>
  <c r="P113" i="21" s="1"/>
  <c r="M118" i="21"/>
  <c r="M119" i="21" s="1"/>
  <c r="N113" i="21"/>
  <c r="L7" i="1" s="1"/>
  <c r="AH7" i="1" s="1"/>
  <c r="P110" i="21"/>
  <c r="P116" i="21" s="1"/>
  <c r="N112" i="21"/>
  <c r="P111" i="21"/>
  <c r="P117" i="21" s="1"/>
  <c r="L112" i="21"/>
  <c r="P108" i="21"/>
  <c r="P114" i="21" s="1"/>
  <c r="M112" i="21"/>
  <c r="P109" i="21"/>
  <c r="P115" i="21" s="1"/>
  <c r="BG60" i="1"/>
  <c r="BH60" i="1" s="1"/>
  <c r="BG39" i="1"/>
  <c r="BG37" i="1"/>
  <c r="V22" i="2"/>
  <c r="H21" i="2"/>
  <c r="D28" i="7" s="1"/>
  <c r="D38" i="7" s="1"/>
  <c r="D22" i="2"/>
  <c r="L98" i="21"/>
  <c r="G9" i="7"/>
  <c r="BG35" i="1"/>
  <c r="D9" i="7" s="1"/>
  <c r="BG31" i="1"/>
  <c r="D7" i="7" s="1"/>
  <c r="L97" i="27"/>
  <c r="AA12" i="1"/>
  <c r="AD12" i="1"/>
  <c r="X12" i="1"/>
  <c r="AB12" i="1"/>
  <c r="Y12" i="1"/>
  <c r="AC12" i="1"/>
  <c r="P109" i="29"/>
  <c r="P115" i="29" s="1"/>
  <c r="W12" i="1"/>
  <c r="L113" i="29"/>
  <c r="Y13" i="1"/>
  <c r="Z13" i="1"/>
  <c r="W13" i="1"/>
  <c r="P112" i="29"/>
  <c r="P118" i="29" s="1"/>
  <c r="P108" i="29"/>
  <c r="P114" i="29" s="1"/>
  <c r="X13" i="1"/>
  <c r="N119" i="29"/>
  <c r="N120" i="29" s="1"/>
  <c r="P110" i="29"/>
  <c r="P116" i="29" s="1"/>
  <c r="P110" i="24"/>
  <c r="P116" i="24" s="1"/>
  <c r="AP114" i="1"/>
  <c r="M114" i="24"/>
  <c r="M113" i="24"/>
  <c r="AV114" i="1"/>
  <c r="BH62" i="1"/>
  <c r="N117" i="24"/>
  <c r="N119" i="24" s="1"/>
  <c r="N120" i="24" s="1"/>
  <c r="P111" i="24"/>
  <c r="P117" i="24" s="1"/>
  <c r="L115" i="24"/>
  <c r="J11" i="1" s="1"/>
  <c r="P109" i="24"/>
  <c r="P115" i="24" s="1"/>
  <c r="N113" i="24"/>
  <c r="P112" i="24"/>
  <c r="P118" i="24" s="1"/>
  <c r="L114" i="24"/>
  <c r="L113" i="24"/>
  <c r="P108" i="24"/>
  <c r="P114" i="24" s="1"/>
  <c r="BA25" i="1"/>
  <c r="AQ114" i="1"/>
  <c r="BG33" i="1"/>
  <c r="O6" i="15"/>
  <c r="M6" i="15"/>
  <c r="AD26" i="1"/>
  <c r="AA26" i="1"/>
  <c r="X26" i="1"/>
  <c r="AC26" i="1"/>
  <c r="Y26" i="1"/>
  <c r="Z26" i="1"/>
  <c r="AB26" i="1"/>
  <c r="W26" i="1"/>
  <c r="P109" i="27"/>
  <c r="P115" i="27" s="1"/>
  <c r="L115" i="27"/>
  <c r="M113" i="27"/>
  <c r="M117" i="27" s="1"/>
  <c r="M118" i="27" s="1"/>
  <c r="M111" i="27"/>
  <c r="L112" i="27"/>
  <c r="J14" i="1" s="1"/>
  <c r="L111" i="27"/>
  <c r="P106" i="27"/>
  <c r="L114" i="27"/>
  <c r="J15" i="1" s="1"/>
  <c r="P108" i="27"/>
  <c r="P114" i="27" s="1"/>
  <c r="AS114" i="1"/>
  <c r="L116" i="27"/>
  <c r="J16" i="1" s="1"/>
  <c r="P110" i="27"/>
  <c r="P116" i="27" s="1"/>
  <c r="L113" i="27"/>
  <c r="P107" i="27"/>
  <c r="P113" i="27" s="1"/>
  <c r="N112" i="27"/>
  <c r="N111" i="27"/>
  <c r="C12" i="4"/>
  <c r="I66" i="13"/>
  <c r="O7" i="15"/>
  <c r="M7" i="15"/>
  <c r="BG88" i="1"/>
  <c r="H11" i="7" s="1"/>
  <c r="W9" i="1"/>
  <c r="Z9" i="1"/>
  <c r="Y9" i="1"/>
  <c r="AD9" i="1"/>
  <c r="AC9" i="1"/>
  <c r="X9" i="1"/>
  <c r="AA9" i="1"/>
  <c r="AB9" i="1"/>
  <c r="L118" i="21"/>
  <c r="L119" i="21" s="1"/>
  <c r="J7" i="1"/>
  <c r="AC8" i="1"/>
  <c r="AD8" i="1"/>
  <c r="W8" i="1"/>
  <c r="AB8" i="1"/>
  <c r="AA8" i="1"/>
  <c r="X8" i="1"/>
  <c r="Y8" i="1"/>
  <c r="Z8" i="1"/>
  <c r="X23" i="1"/>
  <c r="AB23" i="1"/>
  <c r="Y23" i="1"/>
  <c r="AA23" i="1"/>
  <c r="AC23" i="1"/>
  <c r="W23" i="1"/>
  <c r="AD23" i="1"/>
  <c r="Z23" i="1"/>
  <c r="W22" i="1"/>
  <c r="Y22" i="1"/>
  <c r="AC22" i="1"/>
  <c r="Z22" i="1"/>
  <c r="AB22" i="1"/>
  <c r="AD22" i="1"/>
  <c r="X22" i="1"/>
  <c r="AA22" i="1"/>
  <c r="Z20" i="1"/>
  <c r="AD20" i="1"/>
  <c r="AA20" i="1"/>
  <c r="AB20" i="1"/>
  <c r="AC20" i="1"/>
  <c r="X20" i="1"/>
  <c r="Y20" i="1"/>
  <c r="W20" i="1"/>
  <c r="AG20" i="1" l="1"/>
  <c r="AG111" i="1" s="1"/>
  <c r="AI22" i="1"/>
  <c r="AG21" i="1"/>
  <c r="BM21" i="1" s="1"/>
  <c r="AI20" i="1"/>
  <c r="BA20" i="1" s="1"/>
  <c r="AJ22" i="1"/>
  <c r="BB22" i="1" s="1"/>
  <c r="AL21" i="1"/>
  <c r="AK20" i="1"/>
  <c r="AH20" i="1"/>
  <c r="AH111" i="1" s="1"/>
  <c r="AK22" i="1"/>
  <c r="BC22" i="1" s="1"/>
  <c r="AM22" i="1"/>
  <c r="AJ21" i="1"/>
  <c r="AH21" i="1"/>
  <c r="W21" i="1"/>
  <c r="W111" i="1" s="1"/>
  <c r="AA21" i="1"/>
  <c r="AA111" i="1" s="1"/>
  <c r="AL20" i="1"/>
  <c r="AL22" i="1"/>
  <c r="AF22" i="1"/>
  <c r="BM22" i="1" s="1"/>
  <c r="AK21" i="1"/>
  <c r="AM21" i="1"/>
  <c r="D10" i="7"/>
  <c r="AD21" i="1"/>
  <c r="AD111" i="1" s="1"/>
  <c r="L119" i="29"/>
  <c r="L120" i="29" s="1"/>
  <c r="X21" i="1"/>
  <c r="AB21" i="1"/>
  <c r="AB111" i="1" s="1"/>
  <c r="AC21" i="1"/>
  <c r="AC111" i="1" s="1"/>
  <c r="M113" i="29"/>
  <c r="P111" i="29"/>
  <c r="P117" i="29" s="1"/>
  <c r="Y21" i="1"/>
  <c r="AZ21" i="1" s="1"/>
  <c r="N113" i="29"/>
  <c r="BK26" i="1"/>
  <c r="G25" i="7"/>
  <c r="G34" i="7" s="1"/>
  <c r="BK13" i="1"/>
  <c r="BM20" i="1"/>
  <c r="BM23" i="1"/>
  <c r="BM11" i="1"/>
  <c r="BM15" i="1"/>
  <c r="BM8" i="1"/>
  <c r="BM12" i="1"/>
  <c r="BM16" i="1"/>
  <c r="BK8" i="1"/>
  <c r="H36" i="7"/>
  <c r="BK23" i="1"/>
  <c r="BH29" i="1"/>
  <c r="F36" i="7"/>
  <c r="K34" i="5"/>
  <c r="K35" i="5" s="1"/>
  <c r="L5" i="2"/>
  <c r="BK22" i="1"/>
  <c r="H29" i="15"/>
  <c r="BK25" i="1"/>
  <c r="BM9" i="1"/>
  <c r="G23" i="7"/>
  <c r="J5" i="2"/>
  <c r="BM13" i="1"/>
  <c r="F17" i="44"/>
  <c r="U9" i="4"/>
  <c r="F7" i="44"/>
  <c r="H7" i="44" s="1"/>
  <c r="O7" i="44" s="1"/>
  <c r="BK20" i="1"/>
  <c r="BK12" i="1"/>
  <c r="H18" i="2"/>
  <c r="D25" i="7" s="1"/>
  <c r="D34" i="7" s="1"/>
  <c r="N109" i="1"/>
  <c r="BJ14" i="1"/>
  <c r="C7" i="2" s="1"/>
  <c r="G26" i="7"/>
  <c r="G33" i="7" s="1"/>
  <c r="J6" i="2"/>
  <c r="N10" i="2"/>
  <c r="N11" i="2" s="1"/>
  <c r="G114" i="2"/>
  <c r="L33" i="5"/>
  <c r="L32" i="5"/>
  <c r="L24" i="5"/>
  <c r="L26" i="5"/>
  <c r="L28" i="5"/>
  <c r="L30" i="5"/>
  <c r="L23" i="5"/>
  <c r="L31" i="5"/>
  <c r="L27" i="5"/>
  <c r="L29" i="5"/>
  <c r="L25" i="5"/>
  <c r="BK9" i="1"/>
  <c r="H16" i="2"/>
  <c r="D23" i="7" s="1"/>
  <c r="F22" i="2"/>
  <c r="H17" i="2"/>
  <c r="D24" i="7" s="1"/>
  <c r="D37" i="7" s="1"/>
  <c r="H20" i="2"/>
  <c r="D27" i="7" s="1"/>
  <c r="D35" i="7" s="1"/>
  <c r="BH79" i="1"/>
  <c r="G10" i="7"/>
  <c r="H73" i="2"/>
  <c r="H75" i="2" s="1"/>
  <c r="H84" i="2"/>
  <c r="H27" i="7" s="1"/>
  <c r="H35" i="7" s="1"/>
  <c r="D75" i="2"/>
  <c r="M22" i="2"/>
  <c r="H53" i="2"/>
  <c r="H41" i="2"/>
  <c r="F27" i="7" s="1"/>
  <c r="F35" i="7" s="1"/>
  <c r="H64" i="2"/>
  <c r="H82" i="2"/>
  <c r="H25" i="7" s="1"/>
  <c r="H34" i="7" s="1"/>
  <c r="O64" i="2"/>
  <c r="K64" i="2"/>
  <c r="BH83" i="1"/>
  <c r="C29" i="15"/>
  <c r="H6" i="7"/>
  <c r="BH51" i="1"/>
  <c r="F6" i="7"/>
  <c r="K81" i="2"/>
  <c r="O81" i="2" s="1"/>
  <c r="K80" i="2"/>
  <c r="O80" i="2" s="1"/>
  <c r="D86" i="2"/>
  <c r="K37" i="2"/>
  <c r="O37" i="2" s="1"/>
  <c r="D43" i="2"/>
  <c r="K40" i="2"/>
  <c r="K53" i="2"/>
  <c r="O48" i="2"/>
  <c r="O53" i="2" s="1"/>
  <c r="H81" i="2"/>
  <c r="H24" i="7" s="1"/>
  <c r="H37" i="7" s="1"/>
  <c r="K38" i="2"/>
  <c r="O38" i="2" s="1"/>
  <c r="H38" i="2"/>
  <c r="F24" i="7" s="1"/>
  <c r="F37" i="7" s="1"/>
  <c r="O41" i="2"/>
  <c r="K39" i="2"/>
  <c r="AG7" i="1"/>
  <c r="AG107" i="1" s="1"/>
  <c r="AI7" i="1"/>
  <c r="AM7" i="1"/>
  <c r="AM107" i="1" s="1"/>
  <c r="AJ7" i="1"/>
  <c r="M86" i="2"/>
  <c r="L86" i="2"/>
  <c r="O42" i="2"/>
  <c r="O19" i="2"/>
  <c r="O22" i="2" s="1"/>
  <c r="AL7" i="1"/>
  <c r="AF7" i="1"/>
  <c r="O82" i="2"/>
  <c r="O84" i="2"/>
  <c r="AK7" i="1"/>
  <c r="O73" i="2"/>
  <c r="O75" i="2" s="1"/>
  <c r="G11" i="7"/>
  <c r="AY25" i="1"/>
  <c r="BB25" i="1"/>
  <c r="BE25" i="1"/>
  <c r="G8" i="7"/>
  <c r="BH64" i="1"/>
  <c r="AZ25" i="1"/>
  <c r="BC26" i="1"/>
  <c r="BH56" i="1"/>
  <c r="AX25" i="1"/>
  <c r="BC25" i="1"/>
  <c r="BD25" i="1"/>
  <c r="BH86" i="1"/>
  <c r="H9" i="7"/>
  <c r="AX26" i="1"/>
  <c r="J34" i="5"/>
  <c r="J35" i="5" s="1"/>
  <c r="M34" i="5"/>
  <c r="BH84" i="1"/>
  <c r="BB8" i="1"/>
  <c r="BD9" i="1"/>
  <c r="G7" i="7"/>
  <c r="N118" i="21"/>
  <c r="N119" i="21" s="1"/>
  <c r="BA9" i="1"/>
  <c r="BB9" i="1"/>
  <c r="BD8" i="1"/>
  <c r="BC8" i="1"/>
  <c r="AY9" i="1"/>
  <c r="BE9" i="1"/>
  <c r="AX8" i="1"/>
  <c r="AY8" i="1"/>
  <c r="BC9" i="1"/>
  <c r="BE8" i="1"/>
  <c r="P118" i="21"/>
  <c r="P119" i="21" s="1"/>
  <c r="AZ8" i="1"/>
  <c r="AZ9" i="1"/>
  <c r="BA8" i="1"/>
  <c r="P112" i="21"/>
  <c r="AX9" i="1"/>
  <c r="F10" i="7"/>
  <c r="BH37" i="1"/>
  <c r="E29" i="15"/>
  <c r="H8" i="7"/>
  <c r="BH87" i="1"/>
  <c r="K29" i="15"/>
  <c r="G29" i="15"/>
  <c r="BH52" i="1"/>
  <c r="D11" i="7"/>
  <c r="F29" i="15"/>
  <c r="BH35" i="1"/>
  <c r="F7" i="7"/>
  <c r="BH31" i="1"/>
  <c r="BA26" i="1"/>
  <c r="D29" i="15"/>
  <c r="AZ26" i="1"/>
  <c r="AX23" i="1"/>
  <c r="BB23" i="1"/>
  <c r="BB12" i="1"/>
  <c r="BE23" i="1"/>
  <c r="AY12" i="1"/>
  <c r="BC12" i="1"/>
  <c r="BE22" i="1"/>
  <c r="BD12" i="1"/>
  <c r="BA22" i="1"/>
  <c r="BE12" i="1"/>
  <c r="AZ23" i="1"/>
  <c r="BD22" i="1"/>
  <c r="AX12" i="1"/>
  <c r="AZ12" i="1"/>
  <c r="BA13" i="1"/>
  <c r="BD23" i="1"/>
  <c r="AM111" i="1"/>
  <c r="AY23" i="1"/>
  <c r="BC13" i="1"/>
  <c r="AY13" i="1"/>
  <c r="P119" i="24"/>
  <c r="P120" i="24" s="1"/>
  <c r="BE13" i="1"/>
  <c r="BA23" i="1"/>
  <c r="AX13" i="1"/>
  <c r="P119" i="29"/>
  <c r="P120" i="29" s="1"/>
  <c r="BD13" i="1"/>
  <c r="AZ22" i="1"/>
  <c r="BB13" i="1"/>
  <c r="BC23" i="1"/>
  <c r="AY22" i="1"/>
  <c r="P113" i="29"/>
  <c r="AZ13" i="1"/>
  <c r="BE26" i="1"/>
  <c r="K10" i="1"/>
  <c r="BL10" i="1" s="1"/>
  <c r="M119" i="24"/>
  <c r="M120" i="24" s="1"/>
  <c r="P113" i="24"/>
  <c r="Y11" i="1"/>
  <c r="AZ11" i="1" s="1"/>
  <c r="AD11" i="1"/>
  <c r="BE11" i="1" s="1"/>
  <c r="AC11" i="1"/>
  <c r="BD11" i="1" s="1"/>
  <c r="Z11" i="1"/>
  <c r="BA11" i="1" s="1"/>
  <c r="AA11" i="1"/>
  <c r="BB11" i="1" s="1"/>
  <c r="X11" i="1"/>
  <c r="AY11" i="1" s="1"/>
  <c r="W11" i="1"/>
  <c r="AB11" i="1"/>
  <c r="BC11" i="1" s="1"/>
  <c r="J10" i="1"/>
  <c r="L119" i="24"/>
  <c r="L120" i="24" s="1"/>
  <c r="BH88" i="1"/>
  <c r="AY26" i="1"/>
  <c r="BH33" i="1"/>
  <c r="BD26" i="1"/>
  <c r="D8" i="7"/>
  <c r="C37" i="4"/>
  <c r="H12" i="4"/>
  <c r="L117" i="27"/>
  <c r="L118" i="27" s="1"/>
  <c r="AD14" i="1"/>
  <c r="X14" i="1"/>
  <c r="W14" i="1"/>
  <c r="AB14" i="1"/>
  <c r="AA14" i="1"/>
  <c r="Y14" i="1"/>
  <c r="Z14" i="1"/>
  <c r="AC14" i="1"/>
  <c r="L14" i="1"/>
  <c r="N117" i="27"/>
  <c r="N118" i="27" s="1"/>
  <c r="W16" i="1"/>
  <c r="AB16" i="1"/>
  <c r="BC16" i="1" s="1"/>
  <c r="Y16" i="1"/>
  <c r="AZ16" i="1" s="1"/>
  <c r="X16" i="1"/>
  <c r="AY16" i="1" s="1"/>
  <c r="AC16" i="1"/>
  <c r="BD16" i="1" s="1"/>
  <c r="AD16" i="1"/>
  <c r="BE16" i="1" s="1"/>
  <c r="Z16" i="1"/>
  <c r="BA16" i="1" s="1"/>
  <c r="AA16" i="1"/>
  <c r="BB16" i="1" s="1"/>
  <c r="Y15" i="1"/>
  <c r="AZ15" i="1" s="1"/>
  <c r="AB15" i="1"/>
  <c r="BC15" i="1" s="1"/>
  <c r="AC15" i="1"/>
  <c r="BD15" i="1" s="1"/>
  <c r="AA15" i="1"/>
  <c r="BB15" i="1" s="1"/>
  <c r="Z15" i="1"/>
  <c r="BA15" i="1" s="1"/>
  <c r="X15" i="1"/>
  <c r="AY15" i="1" s="1"/>
  <c r="W15" i="1"/>
  <c r="AD15" i="1"/>
  <c r="BE15" i="1" s="1"/>
  <c r="P112" i="27"/>
  <c r="P117" i="27" s="1"/>
  <c r="P118" i="27" s="1"/>
  <c r="P111" i="27"/>
  <c r="BB26" i="1"/>
  <c r="AH107" i="1"/>
  <c r="AC7" i="1"/>
  <c r="AB7" i="1"/>
  <c r="AA7" i="1"/>
  <c r="Z7" i="1"/>
  <c r="Y7" i="1"/>
  <c r="X7" i="1"/>
  <c r="W7" i="1"/>
  <c r="AD7" i="1"/>
  <c r="X111" i="1"/>
  <c r="AY20" i="1"/>
  <c r="BE20" i="1"/>
  <c r="BD20" i="1"/>
  <c r="AY21" i="1"/>
  <c r="AX20" i="1"/>
  <c r="BC20" i="1"/>
  <c r="Y111" i="1"/>
  <c r="BB20" i="1"/>
  <c r="Z111" i="1"/>
  <c r="BA21" i="1"/>
  <c r="BE21" i="1" l="1"/>
  <c r="AZ20" i="1"/>
  <c r="BG20" i="1" s="1"/>
  <c r="BC21" i="1"/>
  <c r="BB21" i="1"/>
  <c r="BD21" i="1"/>
  <c r="AF111" i="1"/>
  <c r="AX111" i="1" s="1"/>
  <c r="AX22" i="1"/>
  <c r="AX21" i="1"/>
  <c r="BK21" i="1"/>
  <c r="D9" i="2"/>
  <c r="D113" i="2" s="1"/>
  <c r="F9" i="2"/>
  <c r="AX15" i="1"/>
  <c r="BG15" i="1" s="1"/>
  <c r="BK15" i="1"/>
  <c r="AX11" i="1"/>
  <c r="BG11" i="1" s="1"/>
  <c r="BK11" i="1"/>
  <c r="D36" i="7"/>
  <c r="D39" i="7" s="1"/>
  <c r="D30" i="7"/>
  <c r="H30" i="7"/>
  <c r="E6" i="2"/>
  <c r="F24" i="44"/>
  <c r="H24" i="44" s="1"/>
  <c r="O24" i="44" s="1"/>
  <c r="H17" i="44"/>
  <c r="O17" i="44" s="1"/>
  <c r="AX16" i="1"/>
  <c r="BG16" i="1" s="1"/>
  <c r="BK16" i="1"/>
  <c r="BK14" i="1"/>
  <c r="H39" i="7"/>
  <c r="J7" i="2"/>
  <c r="G36" i="7"/>
  <c r="G27" i="7"/>
  <c r="G35" i="7" s="1"/>
  <c r="L34" i="5"/>
  <c r="L35" i="5" s="1"/>
  <c r="BK7" i="1"/>
  <c r="D5" i="2" s="1"/>
  <c r="AF107" i="1"/>
  <c r="BM7" i="1"/>
  <c r="F5" i="2" s="1"/>
  <c r="L29" i="15"/>
  <c r="H22" i="2"/>
  <c r="H86" i="2"/>
  <c r="K43" i="2"/>
  <c r="K86" i="2"/>
  <c r="AH10" i="1"/>
  <c r="AH108" i="1" s="1"/>
  <c r="AG10" i="1"/>
  <c r="AG108" i="1" s="1"/>
  <c r="AF10" i="1"/>
  <c r="AF108" i="1" s="1"/>
  <c r="AM10" i="1"/>
  <c r="AM108" i="1" s="1"/>
  <c r="AL10" i="1"/>
  <c r="AK10" i="1"/>
  <c r="AI10" i="1"/>
  <c r="AJ10" i="1"/>
  <c r="O86" i="2"/>
  <c r="AG14" i="1"/>
  <c r="AG109" i="1" s="1"/>
  <c r="AI14" i="1"/>
  <c r="AJ14" i="1"/>
  <c r="AH14" i="1"/>
  <c r="AH109" i="1" s="1"/>
  <c r="AF14" i="1"/>
  <c r="AL14" i="1"/>
  <c r="AM14" i="1"/>
  <c r="AM109" i="1" s="1"/>
  <c r="AK14" i="1"/>
  <c r="BG25" i="1"/>
  <c r="G13" i="7"/>
  <c r="G14" i="7" s="1"/>
  <c r="BG9" i="1"/>
  <c r="C33" i="15" s="1"/>
  <c r="BG8" i="1"/>
  <c r="BH8" i="1" s="1"/>
  <c r="AY111" i="1"/>
  <c r="BG12" i="1"/>
  <c r="D31" i="15" s="1"/>
  <c r="BG23" i="1"/>
  <c r="G33" i="15" s="1"/>
  <c r="AZ111" i="1"/>
  <c r="BE111" i="1"/>
  <c r="BG22" i="1"/>
  <c r="BH22" i="1" s="1"/>
  <c r="BG13" i="1"/>
  <c r="BH13" i="1" s="1"/>
  <c r="AC10" i="1"/>
  <c r="AB10" i="1"/>
  <c r="AA10" i="1"/>
  <c r="W10" i="1"/>
  <c r="AD10" i="1"/>
  <c r="Z10" i="1"/>
  <c r="Y10" i="1"/>
  <c r="X10" i="1"/>
  <c r="H13" i="7"/>
  <c r="H14" i="7" s="1"/>
  <c r="AG112" i="1"/>
  <c r="AF112" i="1"/>
  <c r="AI112" i="1"/>
  <c r="AH112" i="1"/>
  <c r="AJ112" i="1"/>
  <c r="BG26" i="1"/>
  <c r="Z24" i="1"/>
  <c r="AA24" i="1"/>
  <c r="Y24" i="1"/>
  <c r="AC24" i="1"/>
  <c r="X24" i="1"/>
  <c r="AD24" i="1"/>
  <c r="W24" i="1"/>
  <c r="AB24" i="1"/>
  <c r="Z109" i="1"/>
  <c r="W109" i="1"/>
  <c r="D13" i="7"/>
  <c r="D14" i="7" s="1"/>
  <c r="Y109" i="1"/>
  <c r="X109" i="1"/>
  <c r="AA109" i="1"/>
  <c r="AD109" i="1"/>
  <c r="AC109" i="1"/>
  <c r="AB109" i="1"/>
  <c r="C62" i="4"/>
  <c r="H62" i="4" s="1"/>
  <c r="H37" i="4"/>
  <c r="Y107" i="1"/>
  <c r="AZ107" i="1" s="1"/>
  <c r="AZ7" i="1"/>
  <c r="BD7" i="1"/>
  <c r="AC107" i="1"/>
  <c r="W107" i="1"/>
  <c r="AX7" i="1"/>
  <c r="AA107" i="1"/>
  <c r="BB7" i="1"/>
  <c r="X107" i="1"/>
  <c r="AY107" i="1" s="1"/>
  <c r="AY7" i="1"/>
  <c r="AB107" i="1"/>
  <c r="BC7" i="1"/>
  <c r="BE7" i="1"/>
  <c r="AD107" i="1"/>
  <c r="BE107" i="1" s="1"/>
  <c r="Z107" i="1"/>
  <c r="BA7" i="1"/>
  <c r="BG21" i="1"/>
  <c r="G39" i="7" l="1"/>
  <c r="G30" i="7"/>
  <c r="H9" i="2"/>
  <c r="C27" i="7" s="1"/>
  <c r="BK24" i="1"/>
  <c r="D10" i="2" s="1"/>
  <c r="H10" i="2" s="1"/>
  <c r="C28" i="7" s="1"/>
  <c r="K9" i="2"/>
  <c r="K113" i="2" s="1"/>
  <c r="M9" i="2"/>
  <c r="AF109" i="1"/>
  <c r="AX109" i="1" s="1"/>
  <c r="BM14" i="1"/>
  <c r="F7" i="2" s="1"/>
  <c r="AX107" i="1"/>
  <c r="K5" i="2"/>
  <c r="H5" i="2"/>
  <c r="C23" i="7" s="1"/>
  <c r="D109" i="2"/>
  <c r="BK10" i="1"/>
  <c r="D6" i="2" s="1"/>
  <c r="D7" i="2"/>
  <c r="L6" i="2"/>
  <c r="M5" i="2"/>
  <c r="BM10" i="1"/>
  <c r="F6" i="2" s="1"/>
  <c r="K33" i="15"/>
  <c r="H33" i="15"/>
  <c r="BH25" i="1"/>
  <c r="H31" i="15"/>
  <c r="K31" i="15"/>
  <c r="C31" i="15"/>
  <c r="BH9" i="1"/>
  <c r="BE109" i="1"/>
  <c r="AY14" i="1"/>
  <c r="G31" i="15"/>
  <c r="BH23" i="1"/>
  <c r="BH12" i="1"/>
  <c r="D33" i="15"/>
  <c r="D28" i="15"/>
  <c r="BH11" i="1"/>
  <c r="AZ10" i="1"/>
  <c r="Y108" i="1"/>
  <c r="AZ108" i="1" s="1"/>
  <c r="AA108" i="1"/>
  <c r="BB10" i="1"/>
  <c r="Z108" i="1"/>
  <c r="BA10" i="1"/>
  <c r="AB108" i="1"/>
  <c r="BC10" i="1"/>
  <c r="X108" i="1"/>
  <c r="AY108" i="1" s="1"/>
  <c r="AY10" i="1"/>
  <c r="W108" i="1"/>
  <c r="AX108" i="1" s="1"/>
  <c r="AX10" i="1"/>
  <c r="BC14" i="1"/>
  <c r="AD108" i="1"/>
  <c r="BE108" i="1" s="1"/>
  <c r="BE10" i="1"/>
  <c r="AC108" i="1"/>
  <c r="BD10" i="1"/>
  <c r="BH26" i="1"/>
  <c r="AZ24" i="1"/>
  <c r="Y112" i="1"/>
  <c r="AZ112" i="1" s="1"/>
  <c r="AZ14" i="1"/>
  <c r="BA14" i="1"/>
  <c r="X112" i="1"/>
  <c r="AY112" i="1" s="1"/>
  <c r="AY24" i="1"/>
  <c r="BA24" i="1"/>
  <c r="Z112" i="1"/>
  <c r="BA112" i="1" s="1"/>
  <c r="W112" i="1"/>
  <c r="AX112" i="1" s="1"/>
  <c r="AX24" i="1"/>
  <c r="BB14" i="1"/>
  <c r="BE24" i="1"/>
  <c r="AD112" i="1"/>
  <c r="BB24" i="1"/>
  <c r="AA112" i="1"/>
  <c r="BB112" i="1" s="1"/>
  <c r="BC24" i="1"/>
  <c r="BD24" i="1"/>
  <c r="BD14" i="1"/>
  <c r="AY109" i="1"/>
  <c r="AX14" i="1"/>
  <c r="BH15" i="1"/>
  <c r="E31" i="15"/>
  <c r="BE14" i="1"/>
  <c r="E33" i="15"/>
  <c r="BH16" i="1"/>
  <c r="AZ109" i="1"/>
  <c r="BG7" i="1"/>
  <c r="G27" i="15"/>
  <c r="C10" i="7"/>
  <c r="BH20" i="1"/>
  <c r="G28" i="15"/>
  <c r="BH21" i="1"/>
  <c r="K10" i="2" l="1"/>
  <c r="O10" i="2" s="1"/>
  <c r="X10" i="2" s="1"/>
  <c r="C35" i="7"/>
  <c r="D114" i="2"/>
  <c r="O9" i="2"/>
  <c r="X9" i="2" s="1"/>
  <c r="C36" i="7"/>
  <c r="K7" i="2"/>
  <c r="D111" i="2"/>
  <c r="H7" i="2"/>
  <c r="C25" i="7" s="1"/>
  <c r="C38" i="7"/>
  <c r="M6" i="2"/>
  <c r="K6" i="2"/>
  <c r="H6" i="2"/>
  <c r="C24" i="7" s="1"/>
  <c r="D110" i="2"/>
  <c r="K109" i="2"/>
  <c r="O5" i="2"/>
  <c r="X5" i="2" s="1"/>
  <c r="M7" i="2"/>
  <c r="L28" i="15"/>
  <c r="BG10" i="1"/>
  <c r="C7" i="7" s="1"/>
  <c r="BG24" i="1"/>
  <c r="BG14" i="1"/>
  <c r="C6" i="7"/>
  <c r="BH7" i="1"/>
  <c r="C27" i="15"/>
  <c r="C34" i="7" l="1"/>
  <c r="C37" i="7"/>
  <c r="O6" i="2"/>
  <c r="X6" i="2" s="1"/>
  <c r="K110" i="2"/>
  <c r="K111" i="2"/>
  <c r="O7" i="2"/>
  <c r="X7" i="2" s="1"/>
  <c r="C11" i="7"/>
  <c r="H27" i="15"/>
  <c r="D27" i="15"/>
  <c r="BH10" i="1"/>
  <c r="K27" i="15"/>
  <c r="BH24" i="1"/>
  <c r="BH14" i="1"/>
  <c r="C8" i="7"/>
  <c r="E27" i="15"/>
  <c r="I47" i="15" l="1"/>
  <c r="J47" i="15"/>
  <c r="K38" i="19" l="1"/>
  <c r="K59" i="19" s="1"/>
  <c r="Q8" i="2" l="1"/>
  <c r="K104" i="19" l="1"/>
  <c r="K111" i="19"/>
  <c r="P99" i="19"/>
  <c r="Q11" i="2"/>
  <c r="V8" i="2"/>
  <c r="K60" i="19"/>
  <c r="P60" i="19" s="1"/>
  <c r="W8" i="2" l="1"/>
  <c r="V11" i="2"/>
  <c r="P104" i="19"/>
  <c r="K116" i="19"/>
  <c r="K117" i="19" s="1"/>
  <c r="I17" i="1"/>
  <c r="L111" i="19" l="1"/>
  <c r="N111" i="19"/>
  <c r="U17" i="1"/>
  <c r="P17" i="1"/>
  <c r="O17" i="1"/>
  <c r="S17" i="1"/>
  <c r="Q17" i="1"/>
  <c r="N17" i="1"/>
  <c r="R17" i="1"/>
  <c r="T17" i="1"/>
  <c r="M111" i="19"/>
  <c r="M114" i="19"/>
  <c r="M112" i="19"/>
  <c r="N112" i="19"/>
  <c r="M115" i="19"/>
  <c r="K19" i="1" s="1"/>
  <c r="BL19" i="1" s="1"/>
  <c r="M113" i="19"/>
  <c r="K18" i="1" s="1"/>
  <c r="BL18" i="1" s="1"/>
  <c r="N114" i="19"/>
  <c r="N115" i="19"/>
  <c r="L19" i="1" s="1"/>
  <c r="N113" i="19"/>
  <c r="L18" i="1" s="1"/>
  <c r="BJ17" i="1" l="1"/>
  <c r="C8" i="2" s="1"/>
  <c r="J8" i="2" s="1"/>
  <c r="AL18" i="1"/>
  <c r="AH18" i="1"/>
  <c r="AK18" i="1"/>
  <c r="AG18" i="1"/>
  <c r="AJ18" i="1"/>
  <c r="AF18" i="1"/>
  <c r="AM18" i="1"/>
  <c r="AI18" i="1"/>
  <c r="AL19" i="1"/>
  <c r="AH19" i="1"/>
  <c r="AK19" i="1"/>
  <c r="AG19" i="1"/>
  <c r="AJ19" i="1"/>
  <c r="AF19" i="1"/>
  <c r="AM19" i="1"/>
  <c r="AI19" i="1"/>
  <c r="P105" i="19"/>
  <c r="P111" i="19" s="1"/>
  <c r="M110" i="19"/>
  <c r="P108" i="19"/>
  <c r="P114" i="19" s="1"/>
  <c r="L114" i="19"/>
  <c r="L115" i="19"/>
  <c r="J19" i="1" s="1"/>
  <c r="P109" i="19"/>
  <c r="P115" i="19" s="1"/>
  <c r="N110" i="1"/>
  <c r="J17" i="1"/>
  <c r="T110" i="1"/>
  <c r="S110" i="1"/>
  <c r="L112" i="19"/>
  <c r="P106" i="19"/>
  <c r="P112" i="19" s="1"/>
  <c r="R110" i="1"/>
  <c r="O110" i="1"/>
  <c r="L17" i="1"/>
  <c r="N116" i="19"/>
  <c r="N117" i="19" s="1"/>
  <c r="P110" i="1"/>
  <c r="L113" i="19"/>
  <c r="J18" i="1" s="1"/>
  <c r="P107" i="19"/>
  <c r="P113" i="19" s="1"/>
  <c r="K17" i="1"/>
  <c r="BL17" i="1" s="1"/>
  <c r="M116" i="19"/>
  <c r="M117" i="19" s="1"/>
  <c r="L110" i="19"/>
  <c r="N110" i="19"/>
  <c r="U110" i="1"/>
  <c r="C11" i="2" l="1"/>
  <c r="BM19" i="1"/>
  <c r="BM18" i="1"/>
  <c r="E8" i="2"/>
  <c r="J11" i="2"/>
  <c r="AL17" i="1"/>
  <c r="AH17" i="1"/>
  <c r="AK17" i="1"/>
  <c r="AG17" i="1"/>
  <c r="AJ17" i="1"/>
  <c r="AF17" i="1"/>
  <c r="AM17" i="1"/>
  <c r="AI17" i="1"/>
  <c r="L116" i="19"/>
  <c r="L117" i="19" s="1"/>
  <c r="P116" i="19"/>
  <c r="P117" i="19" s="1"/>
  <c r="AD18" i="1"/>
  <c r="AB18" i="1"/>
  <c r="AA18" i="1"/>
  <c r="AC18" i="1"/>
  <c r="X18" i="1"/>
  <c r="W18" i="1"/>
  <c r="Z18" i="1"/>
  <c r="Y18" i="1"/>
  <c r="O114" i="1"/>
  <c r="U114" i="1"/>
  <c r="N114" i="1"/>
  <c r="AA19" i="1"/>
  <c r="Y19" i="1"/>
  <c r="AC19" i="1"/>
  <c r="X19" i="1"/>
  <c r="W19" i="1"/>
  <c r="Z19" i="1"/>
  <c r="AD19" i="1"/>
  <c r="AB19" i="1"/>
  <c r="Y17" i="1"/>
  <c r="AC17" i="1"/>
  <c r="AB17" i="1"/>
  <c r="AA17" i="1"/>
  <c r="AD17" i="1"/>
  <c r="Z17" i="1"/>
  <c r="X17" i="1"/>
  <c r="W17" i="1"/>
  <c r="P114" i="1"/>
  <c r="P110" i="19"/>
  <c r="BM17" i="1" l="1"/>
  <c r="F8" i="2" s="1"/>
  <c r="F11" i="2" s="1"/>
  <c r="BK19" i="1"/>
  <c r="BK17" i="1"/>
  <c r="BK18" i="1"/>
  <c r="L8" i="2"/>
  <c r="E11" i="2"/>
  <c r="W110" i="1"/>
  <c r="AX17" i="1"/>
  <c r="AA110" i="1"/>
  <c r="BB17" i="1"/>
  <c r="AL110" i="1"/>
  <c r="BE19" i="1"/>
  <c r="BD19" i="1"/>
  <c r="BA18" i="1"/>
  <c r="X110" i="1"/>
  <c r="AY17" i="1"/>
  <c r="AX18" i="1"/>
  <c r="BC18" i="1"/>
  <c r="Z110" i="1"/>
  <c r="BA17" i="1"/>
  <c r="AC110" i="1"/>
  <c r="BD17" i="1"/>
  <c r="AF110" i="1"/>
  <c r="AF114" i="1" s="1"/>
  <c r="AH110" i="1"/>
  <c r="AH114" i="1" s="1"/>
  <c r="AX19" i="1"/>
  <c r="BB19" i="1"/>
  <c r="AY18" i="1"/>
  <c r="BE18" i="1"/>
  <c r="BB18" i="1"/>
  <c r="AB110" i="1"/>
  <c r="BC17" i="1"/>
  <c r="AM110" i="1"/>
  <c r="AJ110" i="1"/>
  <c r="BA19" i="1"/>
  <c r="AZ19" i="1"/>
  <c r="AD110" i="1"/>
  <c r="BE17" i="1"/>
  <c r="Y110" i="1"/>
  <c r="AZ17" i="1"/>
  <c r="AK110" i="1"/>
  <c r="AG110" i="1"/>
  <c r="AG114" i="1" s="1"/>
  <c r="BC19" i="1"/>
  <c r="AY19" i="1"/>
  <c r="AZ18" i="1"/>
  <c r="BD18" i="1"/>
  <c r="M8" i="2" l="1"/>
  <c r="M11" i="2" s="1"/>
  <c r="D8" i="2"/>
  <c r="D112" i="2" s="1"/>
  <c r="L11" i="2"/>
  <c r="AD114" i="1"/>
  <c r="BE110" i="1"/>
  <c r="BG18" i="1"/>
  <c r="BD110" i="1"/>
  <c r="BG17" i="1"/>
  <c r="X114" i="1"/>
  <c r="AY110" i="1"/>
  <c r="BC110" i="1"/>
  <c r="AA114" i="1"/>
  <c r="BB110" i="1"/>
  <c r="Y114" i="1"/>
  <c r="AZ110" i="1"/>
  <c r="BG19" i="1"/>
  <c r="W114" i="1"/>
  <c r="AX110" i="1"/>
  <c r="K8" i="2" l="1"/>
  <c r="O8" i="2" s="1"/>
  <c r="H8" i="2"/>
  <c r="H11" i="2" s="1"/>
  <c r="D11" i="2"/>
  <c r="AZ114" i="1"/>
  <c r="E5" i="15"/>
  <c r="E13" i="15" s="1"/>
  <c r="AY114" i="1"/>
  <c r="D5" i="15"/>
  <c r="D13" i="15" s="1"/>
  <c r="BH17" i="1"/>
  <c r="F27" i="15"/>
  <c r="L27" i="15" s="1"/>
  <c r="C9" i="7"/>
  <c r="BH18" i="1"/>
  <c r="F31" i="15"/>
  <c r="L31" i="15" s="1"/>
  <c r="C5" i="15"/>
  <c r="AX114" i="1"/>
  <c r="BH19" i="1"/>
  <c r="F33" i="15"/>
  <c r="L33" i="15" s="1"/>
  <c r="K11" i="2" l="1"/>
  <c r="K112" i="2"/>
  <c r="C26" i="7"/>
  <c r="O11" i="2"/>
  <c r="X8" i="2"/>
  <c r="C13" i="15"/>
  <c r="C13" i="7"/>
  <c r="C14" i="7" s="1"/>
  <c r="C33" i="7" l="1"/>
  <c r="C39" i="7" s="1"/>
  <c r="C30" i="7"/>
  <c r="N12" i="41" l="1"/>
  <c r="E103" i="2"/>
  <c r="E104" i="2" s="1"/>
  <c r="E115" i="2" s="1"/>
  <c r="F103" i="2"/>
  <c r="F104" i="2" s="1"/>
  <c r="F115" i="2" s="1"/>
  <c r="G103" i="2"/>
  <c r="G104" i="2" s="1"/>
  <c r="G115" i="2" s="1"/>
  <c r="G116" i="2" s="1"/>
  <c r="D103" i="2"/>
  <c r="D104" i="2" s="1"/>
  <c r="D115" i="2" s="1"/>
  <c r="D116" i="2" s="1"/>
  <c r="C103" i="2"/>
  <c r="C104" i="2" s="1"/>
  <c r="C115" i="2" s="1"/>
  <c r="AI104" i="1"/>
  <c r="AR104" i="1"/>
  <c r="Z104" i="1"/>
  <c r="Q103" i="2"/>
  <c r="Q104" i="1"/>
  <c r="AR113" i="1" l="1"/>
  <c r="AR114" i="1" s="1"/>
  <c r="BN104" i="1"/>
  <c r="BJ104" i="1"/>
  <c r="AI113" i="1"/>
  <c r="BM104" i="1"/>
  <c r="Z113" i="1"/>
  <c r="Z114" i="1" s="1"/>
  <c r="BK104" i="1"/>
  <c r="H115" i="2"/>
  <c r="I104" i="1"/>
  <c r="Q104" i="2"/>
  <c r="Q115" i="2" s="1"/>
  <c r="BA104" i="1"/>
  <c r="Q113" i="1"/>
  <c r="S103" i="2"/>
  <c r="R103" i="2"/>
  <c r="O12" i="41"/>
  <c r="U103" i="2"/>
  <c r="T103" i="2"/>
  <c r="H103" i="2"/>
  <c r="J104" i="1" l="1"/>
  <c r="R104" i="2"/>
  <c r="R115" i="2" s="1"/>
  <c r="BG104" i="1"/>
  <c r="F12" i="15"/>
  <c r="BA113" i="1"/>
  <c r="N12" i="15"/>
  <c r="H104" i="2"/>
  <c r="I29" i="7" s="1"/>
  <c r="L104" i="1"/>
  <c r="T104" i="2"/>
  <c r="T115" i="2" s="1"/>
  <c r="S104" i="2"/>
  <c r="S115" i="2" s="1"/>
  <c r="K104" i="1"/>
  <c r="U104" i="2"/>
  <c r="U115" i="2" s="1"/>
  <c r="M104" i="1"/>
  <c r="V103" i="2"/>
  <c r="V104" i="2" s="1"/>
  <c r="I30" i="7" l="1"/>
  <c r="J29" i="7"/>
  <c r="BG113" i="1"/>
  <c r="V115" i="2"/>
  <c r="H12" i="15"/>
  <c r="BH104" i="1"/>
  <c r="I12" i="7"/>
  <c r="I13" i="7" l="1"/>
  <c r="I14" i="7" s="1"/>
  <c r="J12" i="7"/>
  <c r="W115" i="2"/>
  <c r="M12" i="15"/>
  <c r="O12" i="15"/>
  <c r="BH113" i="1"/>
  <c r="L12" i="7" l="1"/>
  <c r="K12" i="7"/>
  <c r="D24" i="39" l="1"/>
  <c r="D25" i="39" s="1"/>
  <c r="L83" i="17" l="1"/>
  <c r="M83" i="17"/>
  <c r="I83" i="17"/>
  <c r="K83" i="17"/>
  <c r="J83" i="17"/>
  <c r="N78" i="29" l="1"/>
  <c r="N78" i="21"/>
  <c r="N79" i="24"/>
  <c r="N77" i="27"/>
  <c r="N76" i="19"/>
  <c r="M79" i="24"/>
  <c r="M77" i="27"/>
  <c r="M77" i="19"/>
  <c r="M78" i="21"/>
  <c r="M78" i="29"/>
  <c r="M76" i="19"/>
  <c r="M78" i="27"/>
  <c r="O77" i="19"/>
  <c r="U40" i="2" s="1"/>
  <c r="O77" i="27"/>
  <c r="O78" i="27"/>
  <c r="U39" i="2" s="1"/>
  <c r="O78" i="21"/>
  <c r="O78" i="29"/>
  <c r="O79" i="24"/>
  <c r="O76" i="19"/>
  <c r="G79" i="24"/>
  <c r="K79" i="24" s="1"/>
  <c r="E83" i="17"/>
  <c r="G77" i="27"/>
  <c r="K77" i="27" s="1"/>
  <c r="G76" i="19"/>
  <c r="K76" i="19" s="1"/>
  <c r="G78" i="21"/>
  <c r="K78" i="21" s="1"/>
  <c r="G78" i="29"/>
  <c r="K78" i="29" s="1"/>
  <c r="I48" i="1"/>
  <c r="J32" i="2"/>
  <c r="N32" i="2"/>
  <c r="Q114" i="2"/>
  <c r="Q29" i="2" l="1"/>
  <c r="K93" i="27"/>
  <c r="P77" i="27"/>
  <c r="Q31" i="2"/>
  <c r="K95" i="29"/>
  <c r="P78" i="29"/>
  <c r="U31" i="2"/>
  <c r="O95" i="29"/>
  <c r="N40" i="2"/>
  <c r="M54" i="1"/>
  <c r="S31" i="2"/>
  <c r="M95" i="29"/>
  <c r="S28" i="2"/>
  <c r="M95" i="24"/>
  <c r="T28" i="2"/>
  <c r="N95" i="24"/>
  <c r="Q27" i="2"/>
  <c r="P78" i="21"/>
  <c r="K94" i="21"/>
  <c r="Q28" i="2"/>
  <c r="K95" i="24"/>
  <c r="P79" i="24"/>
  <c r="U27" i="2"/>
  <c r="O94" i="21"/>
  <c r="S27" i="2"/>
  <c r="M94" i="21"/>
  <c r="T27" i="2"/>
  <c r="N94" i="21"/>
  <c r="Q30" i="2"/>
  <c r="P76" i="19"/>
  <c r="K92" i="19"/>
  <c r="U30" i="2"/>
  <c r="O92" i="19"/>
  <c r="N39" i="2"/>
  <c r="M53" i="1"/>
  <c r="U43" i="2"/>
  <c r="S39" i="2"/>
  <c r="P78" i="27"/>
  <c r="Q78" i="27" s="1"/>
  <c r="S40" i="2"/>
  <c r="P77" i="19"/>
  <c r="Q77" i="19" s="1"/>
  <c r="T30" i="2"/>
  <c r="N92" i="19"/>
  <c r="T31" i="2"/>
  <c r="N95" i="29"/>
  <c r="U28" i="2"/>
  <c r="O95" i="24"/>
  <c r="U29" i="2"/>
  <c r="O93" i="27"/>
  <c r="S30" i="2"/>
  <c r="M92" i="19"/>
  <c r="S29" i="2"/>
  <c r="K45" i="1" s="1"/>
  <c r="M93" i="27"/>
  <c r="T29" i="2"/>
  <c r="N93" i="27"/>
  <c r="L48" i="1"/>
  <c r="T114" i="2"/>
  <c r="S114" i="2"/>
  <c r="K48" i="1"/>
  <c r="BL48" i="1" s="1"/>
  <c r="K32" i="2"/>
  <c r="U114" i="2"/>
  <c r="M48" i="1"/>
  <c r="J114" i="2"/>
  <c r="S33" i="2" l="1"/>
  <c r="L45" i="1"/>
  <c r="T111" i="2"/>
  <c r="K46" i="1"/>
  <c r="BL46" i="1" s="1"/>
  <c r="N28" i="2"/>
  <c r="N110" i="2" s="1"/>
  <c r="M44" i="1"/>
  <c r="U110" i="2"/>
  <c r="L46" i="1"/>
  <c r="AI46" i="1" s="1"/>
  <c r="T112" i="2"/>
  <c r="K53" i="1"/>
  <c r="S43" i="2"/>
  <c r="V39" i="2"/>
  <c r="S111" i="2"/>
  <c r="N43" i="2"/>
  <c r="Q76" i="19"/>
  <c r="P92" i="19"/>
  <c r="P95" i="19" s="1"/>
  <c r="L43" i="1"/>
  <c r="T109" i="2"/>
  <c r="N27" i="2"/>
  <c r="N109" i="2" s="1"/>
  <c r="M43" i="1"/>
  <c r="U109" i="2"/>
  <c r="K95" i="21"/>
  <c r="K97" i="21"/>
  <c r="L44" i="1"/>
  <c r="T110" i="2"/>
  <c r="K47" i="1"/>
  <c r="S113" i="2"/>
  <c r="O98" i="29"/>
  <c r="O96" i="29"/>
  <c r="I47" i="1"/>
  <c r="R47" i="1" s="1"/>
  <c r="V31" i="2"/>
  <c r="W31" i="2" s="1"/>
  <c r="Q113" i="2"/>
  <c r="BL45" i="1"/>
  <c r="AI45" i="1"/>
  <c r="N29" i="2"/>
  <c r="N111" i="2" s="1"/>
  <c r="M45" i="1"/>
  <c r="L47" i="1"/>
  <c r="T113" i="2"/>
  <c r="K54" i="1"/>
  <c r="S112" i="2"/>
  <c r="V40" i="2"/>
  <c r="W40" i="2" s="1"/>
  <c r="N30" i="2"/>
  <c r="M46" i="1"/>
  <c r="U33" i="2"/>
  <c r="M96" i="27"/>
  <c r="M97" i="27" s="1"/>
  <c r="M94" i="27"/>
  <c r="O94" i="27"/>
  <c r="O96" i="27"/>
  <c r="N96" i="29"/>
  <c r="N98" i="29"/>
  <c r="N99" i="29" s="1"/>
  <c r="U111" i="2"/>
  <c r="O95" i="19"/>
  <c r="O93" i="19"/>
  <c r="I46" i="1"/>
  <c r="Q46" i="1" s="1"/>
  <c r="V30" i="2"/>
  <c r="W30" i="2" s="1"/>
  <c r="Q112" i="2"/>
  <c r="M97" i="21"/>
  <c r="M95" i="21"/>
  <c r="Q79" i="24"/>
  <c r="P95" i="24"/>
  <c r="P98" i="24" s="1"/>
  <c r="Q78" i="21"/>
  <c r="P94" i="21"/>
  <c r="P97" i="21" s="1"/>
  <c r="M98" i="24"/>
  <c r="M96" i="24"/>
  <c r="U112" i="2"/>
  <c r="N31" i="2"/>
  <c r="N113" i="2" s="1"/>
  <c r="M47" i="1"/>
  <c r="U113" i="2"/>
  <c r="Q77" i="27"/>
  <c r="P93" i="27"/>
  <c r="P96" i="27" s="1"/>
  <c r="K43" i="1"/>
  <c r="S109" i="2"/>
  <c r="K98" i="24"/>
  <c r="K96" i="24"/>
  <c r="I43" i="1"/>
  <c r="R43" i="1" s="1"/>
  <c r="V27" i="2"/>
  <c r="W27" i="2" s="1"/>
  <c r="Q109" i="2"/>
  <c r="Q33" i="2"/>
  <c r="K44" i="1"/>
  <c r="S110" i="2"/>
  <c r="Q78" i="29"/>
  <c r="P95" i="29"/>
  <c r="P98" i="29" s="1"/>
  <c r="K96" i="27"/>
  <c r="K94" i="27"/>
  <c r="T33" i="2"/>
  <c r="N96" i="27"/>
  <c r="N94" i="27"/>
  <c r="M93" i="19"/>
  <c r="M95" i="19"/>
  <c r="O98" i="24"/>
  <c r="O96" i="24"/>
  <c r="N95" i="19"/>
  <c r="N93" i="19"/>
  <c r="K93" i="19"/>
  <c r="K95" i="19"/>
  <c r="N95" i="21"/>
  <c r="N97" i="21"/>
  <c r="O95" i="21"/>
  <c r="O97" i="21"/>
  <c r="I44" i="1"/>
  <c r="R44" i="1" s="1"/>
  <c r="V28" i="2"/>
  <c r="W28" i="2" s="1"/>
  <c r="Q110" i="2"/>
  <c r="N98" i="24"/>
  <c r="N96" i="24"/>
  <c r="M98" i="29"/>
  <c r="M96" i="29"/>
  <c r="N112" i="2"/>
  <c r="K96" i="29"/>
  <c r="K98" i="29"/>
  <c r="I45" i="1"/>
  <c r="R45" i="1" s="1"/>
  <c r="V29" i="2"/>
  <c r="W29" i="2" s="1"/>
  <c r="Q111" i="2"/>
  <c r="BM48" i="1"/>
  <c r="F32" i="2" s="1"/>
  <c r="E32" i="2"/>
  <c r="J48" i="1"/>
  <c r="R114" i="2"/>
  <c r="R33" i="2"/>
  <c r="V32" i="2"/>
  <c r="N33" i="2"/>
  <c r="N114" i="2"/>
  <c r="S112" i="1"/>
  <c r="T112" i="1"/>
  <c r="AK112" i="1"/>
  <c r="O98" i="21" l="1"/>
  <c r="N96" i="19"/>
  <c r="N98" i="21"/>
  <c r="V111" i="2"/>
  <c r="P96" i="29"/>
  <c r="P94" i="27"/>
  <c r="V110" i="2"/>
  <c r="O99" i="24"/>
  <c r="T116" i="2"/>
  <c r="T117" i="2" s="1"/>
  <c r="S116" i="2"/>
  <c r="S117" i="2" s="1"/>
  <c r="M99" i="29"/>
  <c r="M96" i="19"/>
  <c r="K99" i="24"/>
  <c r="U116" i="2"/>
  <c r="U117" i="2" s="1"/>
  <c r="M98" i="21"/>
  <c r="BJ44" i="1"/>
  <c r="C28" i="2" s="1"/>
  <c r="R108" i="1"/>
  <c r="BL54" i="1"/>
  <c r="AI54" i="1"/>
  <c r="BA54" i="1" s="1"/>
  <c r="BG54" i="1" s="1"/>
  <c r="K99" i="29"/>
  <c r="V113" i="2"/>
  <c r="O99" i="29"/>
  <c r="N99" i="24"/>
  <c r="BM46" i="1"/>
  <c r="F30" i="2" s="1"/>
  <c r="M30" i="2" s="1"/>
  <c r="E30" i="2"/>
  <c r="L30" i="2" s="1"/>
  <c r="N116" i="2"/>
  <c r="K97" i="27"/>
  <c r="AI44" i="1"/>
  <c r="BL44" i="1"/>
  <c r="BJ43" i="1"/>
  <c r="C27" i="2" s="1"/>
  <c r="R107" i="1"/>
  <c r="K96" i="19"/>
  <c r="V112" i="2"/>
  <c r="O96" i="19"/>
  <c r="O97" i="27"/>
  <c r="BA45" i="1"/>
  <c r="AL44" i="1"/>
  <c r="AK44" i="1"/>
  <c r="AJ44" i="1"/>
  <c r="AJ108" i="1" s="1"/>
  <c r="AK43" i="1"/>
  <c r="AL43" i="1"/>
  <c r="AJ43" i="1"/>
  <c r="AJ107" i="1" s="1"/>
  <c r="BL53" i="1"/>
  <c r="AI53" i="1"/>
  <c r="BA53" i="1" s="1"/>
  <c r="BG53" i="1" s="1"/>
  <c r="BJ45" i="1"/>
  <c r="C29" i="2" s="1"/>
  <c r="R109" i="1"/>
  <c r="P93" i="19"/>
  <c r="P96" i="24"/>
  <c r="BL43" i="1"/>
  <c r="AI43" i="1"/>
  <c r="M99" i="24"/>
  <c r="AL47" i="1"/>
  <c r="AK47" i="1"/>
  <c r="AJ47" i="1"/>
  <c r="BB47" i="1" s="1"/>
  <c r="E29" i="2"/>
  <c r="L29" i="2" s="1"/>
  <c r="BJ47" i="1"/>
  <c r="C31" i="2" s="1"/>
  <c r="R111" i="1"/>
  <c r="AI47" i="1"/>
  <c r="BL47" i="1"/>
  <c r="E31" i="2" s="1"/>
  <c r="K98" i="21"/>
  <c r="N97" i="27"/>
  <c r="V109" i="2"/>
  <c r="Q116" i="2"/>
  <c r="Q117" i="2" s="1"/>
  <c r="BJ46" i="1"/>
  <c r="C30" i="2" s="1"/>
  <c r="BA46" i="1"/>
  <c r="BG46" i="1" s="1"/>
  <c r="Q110" i="1"/>
  <c r="P95" i="21"/>
  <c r="W39" i="2"/>
  <c r="V43" i="2"/>
  <c r="AK45" i="1"/>
  <c r="AJ45" i="1"/>
  <c r="AJ109" i="1" s="1"/>
  <c r="AL45" i="1"/>
  <c r="H32" i="2"/>
  <c r="E114" i="2"/>
  <c r="L32" i="2"/>
  <c r="F114" i="2"/>
  <c r="M32" i="2"/>
  <c r="AU112" i="1"/>
  <c r="AU114" i="1" s="1"/>
  <c r="K33" i="2"/>
  <c r="K114" i="2"/>
  <c r="T114" i="1"/>
  <c r="BE48" i="1"/>
  <c r="AM112" i="1"/>
  <c r="R116" i="2"/>
  <c r="R117" i="2" s="1"/>
  <c r="V114" i="2"/>
  <c r="S114" i="1"/>
  <c r="AT112" i="1"/>
  <c r="AT114" i="1" s="1"/>
  <c r="AL112" i="1"/>
  <c r="V33" i="2"/>
  <c r="P99" i="24" l="1"/>
  <c r="AI110" i="1"/>
  <c r="BA110" i="1" s="1"/>
  <c r="BG110" i="1" s="1"/>
  <c r="BH110" i="1" s="1"/>
  <c r="BB43" i="1"/>
  <c r="P98" i="21"/>
  <c r="P99" i="29"/>
  <c r="L31" i="2"/>
  <c r="L113" i="2" s="1"/>
  <c r="E113" i="2"/>
  <c r="J31" i="2"/>
  <c r="C113" i="2"/>
  <c r="BC47" i="1"/>
  <c r="AK111" i="1"/>
  <c r="BC111" i="1" s="1"/>
  <c r="E27" i="2"/>
  <c r="BM43" i="1"/>
  <c r="F27" i="2" s="1"/>
  <c r="BB109" i="1"/>
  <c r="E39" i="2"/>
  <c r="BM53" i="1"/>
  <c r="F39" i="2" s="1"/>
  <c r="P96" i="19"/>
  <c r="E28" i="2"/>
  <c r="BM44" i="1"/>
  <c r="F28" i="2" s="1"/>
  <c r="H28" i="2" s="1"/>
  <c r="E24" i="7" s="1"/>
  <c r="E40" i="2"/>
  <c r="BM54" i="1"/>
  <c r="F40" i="2" s="1"/>
  <c r="Q114" i="1"/>
  <c r="BD45" i="1"/>
  <c r="AL109" i="1"/>
  <c r="BD109" i="1" s="1"/>
  <c r="BH46" i="1"/>
  <c r="E9" i="7"/>
  <c r="F30" i="15"/>
  <c r="BA47" i="1"/>
  <c r="AI111" i="1"/>
  <c r="BA111" i="1" s="1"/>
  <c r="BM45" i="1"/>
  <c r="F29" i="2" s="1"/>
  <c r="M29" i="2" s="1"/>
  <c r="BD47" i="1"/>
  <c r="AL111" i="1"/>
  <c r="BD111" i="1" s="1"/>
  <c r="BB45" i="1"/>
  <c r="BC44" i="1"/>
  <c r="AK108" i="1"/>
  <c r="BC108" i="1" s="1"/>
  <c r="BB107" i="1"/>
  <c r="R114" i="1"/>
  <c r="BA44" i="1"/>
  <c r="AI108" i="1"/>
  <c r="BA108" i="1" s="1"/>
  <c r="BB108" i="1"/>
  <c r="J30" i="2"/>
  <c r="J112" i="2" s="1"/>
  <c r="H30" i="2"/>
  <c r="E26" i="7" s="1"/>
  <c r="C112" i="2"/>
  <c r="J29" i="2"/>
  <c r="C111" i="2"/>
  <c r="BD43" i="1"/>
  <c r="AL107" i="1"/>
  <c r="BD107" i="1" s="1"/>
  <c r="BD44" i="1"/>
  <c r="AL108" i="1"/>
  <c r="BD108" i="1" s="1"/>
  <c r="P97" i="27"/>
  <c r="BB44" i="1"/>
  <c r="BC45" i="1"/>
  <c r="AK109" i="1"/>
  <c r="BC109" i="1" s="1"/>
  <c r="BM47" i="1"/>
  <c r="F31" i="2" s="1"/>
  <c r="AJ111" i="1"/>
  <c r="AJ114" i="1" s="1"/>
  <c r="BA43" i="1"/>
  <c r="AI107" i="1"/>
  <c r="BH53" i="1"/>
  <c r="F8" i="7"/>
  <c r="BC43" i="1"/>
  <c r="AK107" i="1"/>
  <c r="AI109" i="1"/>
  <c r="BA109" i="1" s="1"/>
  <c r="J27" i="2"/>
  <c r="C33" i="2"/>
  <c r="C109" i="2"/>
  <c r="F9" i="7"/>
  <c r="BH54" i="1"/>
  <c r="J28" i="2"/>
  <c r="J110" i="2" s="1"/>
  <c r="C110" i="2"/>
  <c r="E28" i="7"/>
  <c r="O32" i="2"/>
  <c r="M114" i="2"/>
  <c r="H114" i="2"/>
  <c r="L114" i="2"/>
  <c r="AV115" i="1"/>
  <c r="AB112" i="1"/>
  <c r="BC48" i="1"/>
  <c r="AM114" i="1"/>
  <c r="BE112" i="1"/>
  <c r="V116" i="2"/>
  <c r="V117" i="2" s="1"/>
  <c r="AC112" i="1"/>
  <c r="BD48" i="1"/>
  <c r="K116" i="2"/>
  <c r="U115" i="1" l="1"/>
  <c r="H27" i="2"/>
  <c r="E23" i="7" s="1"/>
  <c r="BG109" i="1"/>
  <c r="BH109" i="1" s="1"/>
  <c r="H29" i="2"/>
  <c r="E25" i="7" s="1"/>
  <c r="E34" i="7" s="1"/>
  <c r="BG45" i="1"/>
  <c r="BH45" i="1" s="1"/>
  <c r="BG43" i="1"/>
  <c r="O30" i="2"/>
  <c r="L28" i="2"/>
  <c r="L110" i="2" s="1"/>
  <c r="E110" i="2"/>
  <c r="L39" i="2"/>
  <c r="E43" i="2"/>
  <c r="H39" i="2"/>
  <c r="E111" i="2"/>
  <c r="J113" i="2"/>
  <c r="J109" i="2"/>
  <c r="J33" i="2"/>
  <c r="F13" i="7"/>
  <c r="F14" i="7" s="1"/>
  <c r="AL114" i="1"/>
  <c r="E33" i="7"/>
  <c r="BG108" i="1"/>
  <c r="BH108" i="1" s="1"/>
  <c r="BG47" i="1"/>
  <c r="M40" i="2"/>
  <c r="M112" i="2" s="1"/>
  <c r="F112" i="2"/>
  <c r="M31" i="2"/>
  <c r="M113" i="2" s="1"/>
  <c r="F113" i="2"/>
  <c r="H113" i="2" s="1"/>
  <c r="O29" i="2"/>
  <c r="J111" i="2"/>
  <c r="BG44" i="1"/>
  <c r="F34" i="15"/>
  <c r="F43" i="15" s="1"/>
  <c r="L40" i="2"/>
  <c r="H40" i="2"/>
  <c r="F26" i="7" s="1"/>
  <c r="F33" i="7" s="1"/>
  <c r="E112" i="2"/>
  <c r="F109" i="2"/>
  <c r="M27" i="2"/>
  <c r="F33" i="2"/>
  <c r="E37" i="7"/>
  <c r="J24" i="7"/>
  <c r="C116" i="2"/>
  <c r="E36" i="7"/>
  <c r="J23" i="7"/>
  <c r="BC107" i="1"/>
  <c r="AK114" i="1"/>
  <c r="BA107" i="1"/>
  <c r="AI114" i="1"/>
  <c r="BB111" i="1"/>
  <c r="G5" i="15" s="1"/>
  <c r="G13" i="15" s="1"/>
  <c r="J9" i="7"/>
  <c r="F110" i="2"/>
  <c r="M28" i="2"/>
  <c r="M39" i="2"/>
  <c r="F43" i="2"/>
  <c r="F111" i="2"/>
  <c r="E109" i="2"/>
  <c r="L27" i="2"/>
  <c r="O27" i="2" s="1"/>
  <c r="E33" i="2"/>
  <c r="H31" i="2"/>
  <c r="E27" i="7" s="1"/>
  <c r="E38" i="7"/>
  <c r="J28" i="7"/>
  <c r="O114" i="2"/>
  <c r="BG48" i="1"/>
  <c r="AC114" i="1"/>
  <c r="BD112" i="1"/>
  <c r="AB114" i="1"/>
  <c r="BC112" i="1"/>
  <c r="K5" i="15"/>
  <c r="K13" i="15" s="1"/>
  <c r="K18" i="15" s="1"/>
  <c r="K16" i="44" s="1"/>
  <c r="K23" i="44" s="1"/>
  <c r="BE114" i="1"/>
  <c r="AM115" i="1" l="1"/>
  <c r="F116" i="2"/>
  <c r="E8" i="7"/>
  <c r="J8" i="7" s="1"/>
  <c r="L8" i="7" s="1"/>
  <c r="H112" i="2"/>
  <c r="E30" i="7"/>
  <c r="H111" i="2"/>
  <c r="E116" i="2"/>
  <c r="BB114" i="1"/>
  <c r="E30" i="15"/>
  <c r="E34" i="15" s="1"/>
  <c r="H110" i="2"/>
  <c r="O31" i="2"/>
  <c r="J26" i="7"/>
  <c r="L109" i="2"/>
  <c r="L33" i="2"/>
  <c r="M43" i="2"/>
  <c r="M111" i="2"/>
  <c r="M109" i="2"/>
  <c r="M33" i="2"/>
  <c r="O40" i="2"/>
  <c r="L112" i="2"/>
  <c r="O112" i="2" s="1"/>
  <c r="W112" i="2" s="1"/>
  <c r="O109" i="2"/>
  <c r="J116" i="2"/>
  <c r="O113" i="2"/>
  <c r="W113" i="2" s="1"/>
  <c r="BG111" i="1"/>
  <c r="BH111" i="1" s="1"/>
  <c r="O28" i="2"/>
  <c r="M110" i="2"/>
  <c r="O110" i="2" s="1"/>
  <c r="L111" i="2"/>
  <c r="L43" i="2"/>
  <c r="O39" i="2"/>
  <c r="E35" i="7"/>
  <c r="E39" i="7" s="1"/>
  <c r="J27" i="7"/>
  <c r="BG107" i="1"/>
  <c r="BH107" i="1" s="1"/>
  <c r="F5" i="15"/>
  <c r="BA114" i="1"/>
  <c r="F44" i="15"/>
  <c r="F45" i="15"/>
  <c r="F42" i="15"/>
  <c r="F41" i="15"/>
  <c r="F46" i="15"/>
  <c r="F40" i="15"/>
  <c r="E6" i="7"/>
  <c r="J6" i="7" s="1"/>
  <c r="C30" i="15"/>
  <c r="BH43" i="1"/>
  <c r="K9" i="7"/>
  <c r="L9" i="7"/>
  <c r="H109" i="2"/>
  <c r="E7" i="7"/>
  <c r="J7" i="7" s="1"/>
  <c r="D30" i="15"/>
  <c r="BH44" i="1"/>
  <c r="BH47" i="1"/>
  <c r="G30" i="15"/>
  <c r="E10" i="7"/>
  <c r="J10" i="7" s="1"/>
  <c r="F25" i="7"/>
  <c r="H43" i="2"/>
  <c r="H33" i="2"/>
  <c r="K30" i="15"/>
  <c r="K34" i="15" s="1"/>
  <c r="H30" i="15"/>
  <c r="E11" i="7"/>
  <c r="BH48" i="1"/>
  <c r="W114" i="2"/>
  <c r="AD115" i="1"/>
  <c r="BD114" i="1"/>
  <c r="J5" i="15"/>
  <c r="J13" i="15" s="1"/>
  <c r="J18" i="15" s="1"/>
  <c r="J16" i="44" s="1"/>
  <c r="BC114" i="1"/>
  <c r="BG112" i="1"/>
  <c r="I5" i="15"/>
  <c r="K6" i="44"/>
  <c r="K8" i="7" l="1"/>
  <c r="O43" i="2"/>
  <c r="O111" i="2"/>
  <c r="W111" i="2" s="1"/>
  <c r="O33" i="2"/>
  <c r="H116" i="2"/>
  <c r="E43" i="15"/>
  <c r="W110" i="2"/>
  <c r="N5" i="15"/>
  <c r="E13" i="7"/>
  <c r="E14" i="7" s="1"/>
  <c r="D34" i="15"/>
  <c r="D43" i="15" s="1"/>
  <c r="C34" i="15"/>
  <c r="C43" i="15" s="1"/>
  <c r="E40" i="15"/>
  <c r="E45" i="15"/>
  <c r="E41" i="15"/>
  <c r="E46" i="15"/>
  <c r="E42" i="15"/>
  <c r="E44" i="15"/>
  <c r="K10" i="7"/>
  <c r="L10" i="7"/>
  <c r="G34" i="15"/>
  <c r="L7" i="7"/>
  <c r="K7" i="7"/>
  <c r="K6" i="7"/>
  <c r="L6" i="7"/>
  <c r="H5" i="15"/>
  <c r="H13" i="15" s="1"/>
  <c r="F13" i="15"/>
  <c r="F47" i="15"/>
  <c r="W109" i="2"/>
  <c r="M116" i="2"/>
  <c r="L116" i="2"/>
  <c r="F34" i="7"/>
  <c r="F39" i="7" s="1"/>
  <c r="F30" i="7"/>
  <c r="J25" i="7"/>
  <c r="J30" i="7" s="1"/>
  <c r="H34" i="15"/>
  <c r="H43" i="15" s="1"/>
  <c r="J23" i="44"/>
  <c r="L30" i="15"/>
  <c r="L34" i="15" s="1"/>
  <c r="J11" i="7"/>
  <c r="L11" i="7" s="1"/>
  <c r="BH112" i="1"/>
  <c r="C36" i="15" a="1"/>
  <c r="BG114" i="1"/>
  <c r="J6" i="44"/>
  <c r="K41" i="15"/>
  <c r="K44" i="15"/>
  <c r="K40" i="15"/>
  <c r="K45" i="15"/>
  <c r="K46" i="15"/>
  <c r="K42" i="15"/>
  <c r="L5" i="15"/>
  <c r="I13" i="15"/>
  <c r="I18" i="15" s="1"/>
  <c r="I16" i="44" s="1"/>
  <c r="K43" i="15"/>
  <c r="O116" i="2" l="1"/>
  <c r="O5" i="15"/>
  <c r="J31" i="7"/>
  <c r="G46" i="15"/>
  <c r="G45" i="15"/>
  <c r="G40" i="15"/>
  <c r="G44" i="15"/>
  <c r="G41" i="15"/>
  <c r="G42" i="15"/>
  <c r="E47" i="15"/>
  <c r="C44" i="15"/>
  <c r="C40" i="15"/>
  <c r="C41" i="15"/>
  <c r="C46" i="15"/>
  <c r="C42" i="15"/>
  <c r="C45" i="15"/>
  <c r="G43" i="15"/>
  <c r="D40" i="15"/>
  <c r="D44" i="15"/>
  <c r="D42" i="15"/>
  <c r="D45" i="15"/>
  <c r="D46" i="15"/>
  <c r="D41" i="15"/>
  <c r="J13" i="7"/>
  <c r="J14" i="7" s="1"/>
  <c r="L43" i="15"/>
  <c r="Y125" i="1" s="1"/>
  <c r="J16" i="7"/>
  <c r="K11" i="7"/>
  <c r="K13" i="7" s="1"/>
  <c r="I23" i="44"/>
  <c r="N23" i="44" s="1"/>
  <c r="N16" i="44"/>
  <c r="H40" i="15"/>
  <c r="H46" i="15"/>
  <c r="H45" i="15"/>
  <c r="H44" i="15"/>
  <c r="H42" i="15"/>
  <c r="H41" i="15"/>
  <c r="L13" i="15"/>
  <c r="L18" i="15" s="1"/>
  <c r="M5" i="15"/>
  <c r="L13" i="7"/>
  <c r="L16" i="7"/>
  <c r="L36" i="15"/>
  <c r="L37" i="15" s="1"/>
  <c r="BH114" i="1"/>
  <c r="I6" i="44"/>
  <c r="N6" i="44" s="1"/>
  <c r="K47" i="15"/>
  <c r="J36" i="15"/>
  <c r="J37" i="15" s="1"/>
  <c r="C36" i="15"/>
  <c r="C37" i="15" s="1"/>
  <c r="I36" i="15"/>
  <c r="I37" i="15" s="1"/>
  <c r="K36" i="15"/>
  <c r="K37" i="15" s="1"/>
  <c r="H36" i="15"/>
  <c r="H37" i="15" s="1"/>
  <c r="E36" i="15"/>
  <c r="E37" i="15" s="1"/>
  <c r="G36" i="15"/>
  <c r="G37" i="15" s="1"/>
  <c r="F36" i="15"/>
  <c r="F37" i="15" s="1"/>
  <c r="D36" i="15"/>
  <c r="D37" i="15" s="1"/>
  <c r="L44" i="15" l="1"/>
  <c r="AV128" i="1" s="1"/>
  <c r="AH125" i="1"/>
  <c r="F35" i="13" s="1"/>
  <c r="L46" i="15"/>
  <c r="AP134" i="1" s="1"/>
  <c r="AP135" i="1" s="1"/>
  <c r="L45" i="15"/>
  <c r="AP129" i="1" s="1"/>
  <c r="L41" i="15"/>
  <c r="AV121" i="1" s="1"/>
  <c r="L42" i="15"/>
  <c r="AR124" i="1" s="1"/>
  <c r="D47" i="15"/>
  <c r="G47" i="15"/>
  <c r="C47" i="15"/>
  <c r="AJ125" i="1"/>
  <c r="AA125" i="1"/>
  <c r="T125" i="1"/>
  <c r="Z125" i="1"/>
  <c r="N125" i="1"/>
  <c r="AL125" i="1"/>
  <c r="U125" i="1"/>
  <c r="AM125" i="1"/>
  <c r="W125" i="1"/>
  <c r="AS125" i="1"/>
  <c r="P125" i="1"/>
  <c r="AB125" i="1"/>
  <c r="Q125" i="1"/>
  <c r="AO125" i="1"/>
  <c r="R125" i="1"/>
  <c r="AT125" i="1"/>
  <c r="AK125" i="1"/>
  <c r="AI125" i="1"/>
  <c r="O125" i="1"/>
  <c r="X125" i="1"/>
  <c r="AV125" i="1"/>
  <c r="AG125" i="1"/>
  <c r="AF125" i="1"/>
  <c r="AC125" i="1"/>
  <c r="AU125" i="1"/>
  <c r="S125" i="1"/>
  <c r="AR125" i="1"/>
  <c r="AD125" i="1"/>
  <c r="AP125" i="1"/>
  <c r="AQ125" i="1"/>
  <c r="H47" i="15"/>
  <c r="L40" i="15"/>
  <c r="M13" i="15"/>
  <c r="M34" i="15"/>
  <c r="Q124" i="1" l="1"/>
  <c r="Q126" i="1" s="1"/>
  <c r="N128" i="1"/>
  <c r="T128" i="1"/>
  <c r="P128" i="1"/>
  <c r="S128" i="1"/>
  <c r="O128" i="1"/>
  <c r="R128" i="1"/>
  <c r="AK124" i="1"/>
  <c r="AK126" i="1" s="1"/>
  <c r="AK128" i="1"/>
  <c r="AL128" i="1"/>
  <c r="AJ128" i="1"/>
  <c r="AS128" i="1"/>
  <c r="AD128" i="1"/>
  <c r="AQ128" i="1"/>
  <c r="Z128" i="1"/>
  <c r="AI128" i="1"/>
  <c r="Q128" i="1"/>
  <c r="U128" i="1"/>
  <c r="AA128" i="1"/>
  <c r="AB128" i="1"/>
  <c r="AR128" i="1"/>
  <c r="AP128" i="1"/>
  <c r="AP130" i="1" s="1"/>
  <c r="AO121" i="1"/>
  <c r="X128" i="1"/>
  <c r="AC128" i="1"/>
  <c r="AG128" i="1"/>
  <c r="AU128" i="1"/>
  <c r="AH128" i="1"/>
  <c r="AO128" i="1"/>
  <c r="AM128" i="1"/>
  <c r="Y128" i="1"/>
  <c r="AT128" i="1"/>
  <c r="AF128" i="1"/>
  <c r="W128" i="1"/>
  <c r="AC134" i="1"/>
  <c r="AC135" i="1" s="1"/>
  <c r="Y134" i="1"/>
  <c r="Y135" i="1" s="1"/>
  <c r="AJ134" i="1"/>
  <c r="AJ135" i="1" s="1"/>
  <c r="P134" i="1"/>
  <c r="P135" i="1" s="1"/>
  <c r="Q134" i="1"/>
  <c r="Q135" i="1" s="1"/>
  <c r="AS134" i="1"/>
  <c r="AS135" i="1" s="1"/>
  <c r="AT134" i="1"/>
  <c r="AT135" i="1" s="1"/>
  <c r="AG134" i="1"/>
  <c r="AG135" i="1" s="1"/>
  <c r="AD134" i="1"/>
  <c r="AD135" i="1" s="1"/>
  <c r="AA134" i="1"/>
  <c r="Z134" i="1"/>
  <c r="Z135" i="1" s="1"/>
  <c r="AQ134" i="1"/>
  <c r="AQ135" i="1" s="1"/>
  <c r="AI129" i="1"/>
  <c r="S129" i="1"/>
  <c r="W129" i="1"/>
  <c r="AU134" i="1"/>
  <c r="AU135" i="1" s="1"/>
  <c r="AL129" i="1"/>
  <c r="U134" i="1"/>
  <c r="U135" i="1" s="1"/>
  <c r="AM134" i="1"/>
  <c r="AM135" i="1" s="1"/>
  <c r="AB134" i="1"/>
  <c r="AB135" i="1" s="1"/>
  <c r="AL134" i="1"/>
  <c r="AL135" i="1" s="1"/>
  <c r="AK134" i="1"/>
  <c r="AK135" i="1" s="1"/>
  <c r="AF134" i="1"/>
  <c r="AF135" i="1" s="1"/>
  <c r="AJ129" i="1"/>
  <c r="X134" i="1"/>
  <c r="X135" i="1" s="1"/>
  <c r="W134" i="1"/>
  <c r="W135" i="1" s="1"/>
  <c r="AH134" i="1"/>
  <c r="AH135" i="1" s="1"/>
  <c r="O134" i="1"/>
  <c r="O135" i="1" s="1"/>
  <c r="AI134" i="1"/>
  <c r="AI135" i="1" s="1"/>
  <c r="T129" i="1"/>
  <c r="AT129" i="1"/>
  <c r="AV129" i="1"/>
  <c r="AV130" i="1" s="1"/>
  <c r="AB121" i="1"/>
  <c r="U129" i="1"/>
  <c r="N129" i="1"/>
  <c r="R129" i="1"/>
  <c r="O129" i="1"/>
  <c r="Y129" i="1"/>
  <c r="AM129" i="1"/>
  <c r="AQ129" i="1"/>
  <c r="AQ130" i="1" s="1"/>
  <c r="AO129" i="1"/>
  <c r="T134" i="1"/>
  <c r="T135" i="1" s="1"/>
  <c r="S134" i="1"/>
  <c r="S135" i="1" s="1"/>
  <c r="AV134" i="1"/>
  <c r="AV135" i="1" s="1"/>
  <c r="N134" i="1"/>
  <c r="N135" i="1" s="1"/>
  <c r="AR134" i="1"/>
  <c r="AR135" i="1" s="1"/>
  <c r="R134" i="1"/>
  <c r="R135" i="1" s="1"/>
  <c r="AO134" i="1"/>
  <c r="AO135" i="1" s="1"/>
  <c r="Z121" i="1"/>
  <c r="X121" i="1"/>
  <c r="U121" i="1"/>
  <c r="P129" i="1"/>
  <c r="AR129" i="1"/>
  <c r="AC129" i="1"/>
  <c r="X129" i="1"/>
  <c r="AG129" i="1"/>
  <c r="AG130" i="1" s="1"/>
  <c r="Q129" i="1"/>
  <c r="Z129" i="1"/>
  <c r="AB129" i="1"/>
  <c r="AT121" i="1"/>
  <c r="W121" i="1"/>
  <c r="AK129" i="1"/>
  <c r="AA129" i="1"/>
  <c r="AD129" i="1"/>
  <c r="AF129" i="1"/>
  <c r="AH129" i="1"/>
  <c r="AU129" i="1"/>
  <c r="AS129" i="1"/>
  <c r="T121" i="1"/>
  <c r="N124" i="1"/>
  <c r="N126" i="1" s="1"/>
  <c r="AG121" i="1"/>
  <c r="AR121" i="1"/>
  <c r="Y121" i="1"/>
  <c r="AC124" i="1"/>
  <c r="AC126" i="1" s="1"/>
  <c r="AB124" i="1"/>
  <c r="AB126" i="1" s="1"/>
  <c r="AQ121" i="1"/>
  <c r="AH124" i="1"/>
  <c r="AH126" i="1" s="1"/>
  <c r="O121" i="1"/>
  <c r="AF121" i="1"/>
  <c r="AA121" i="1"/>
  <c r="AI124" i="1"/>
  <c r="AI126" i="1" s="1"/>
  <c r="AQ124" i="1"/>
  <c r="AQ126" i="1" s="1"/>
  <c r="AI121" i="1"/>
  <c r="AD124" i="1"/>
  <c r="AD126" i="1" s="1"/>
  <c r="AO124" i="1"/>
  <c r="AO126" i="1" s="1"/>
  <c r="AL124" i="1"/>
  <c r="AL126" i="1" s="1"/>
  <c r="AP124" i="1"/>
  <c r="AP126" i="1" s="1"/>
  <c r="N121" i="1"/>
  <c r="AM121" i="1"/>
  <c r="S121" i="1"/>
  <c r="P121" i="1"/>
  <c r="AL121" i="1"/>
  <c r="R121" i="1"/>
  <c r="AU124" i="1"/>
  <c r="AU126" i="1" s="1"/>
  <c r="Z124" i="1"/>
  <c r="Y124" i="1"/>
  <c r="Y126" i="1" s="1"/>
  <c r="AV124" i="1"/>
  <c r="AV126" i="1" s="1"/>
  <c r="AM124" i="1"/>
  <c r="AM126" i="1" s="1"/>
  <c r="O124" i="1"/>
  <c r="O126" i="1" s="1"/>
  <c r="R124" i="1"/>
  <c r="R126" i="1" s="1"/>
  <c r="AS124" i="1"/>
  <c r="AS126" i="1" s="1"/>
  <c r="AJ121" i="1"/>
  <c r="AS121" i="1"/>
  <c r="AT124" i="1"/>
  <c r="AT126" i="1" s="1"/>
  <c r="X124" i="1"/>
  <c r="X126" i="1" s="1"/>
  <c r="W124" i="1"/>
  <c r="W126" i="1" s="1"/>
  <c r="T124" i="1"/>
  <c r="AU121" i="1"/>
  <c r="AH121" i="1"/>
  <c r="AD121" i="1"/>
  <c r="AC121" i="1"/>
  <c r="Q121" i="1"/>
  <c r="AP121" i="1"/>
  <c r="U124" i="1"/>
  <c r="U126" i="1" s="1"/>
  <c r="AG124" i="1"/>
  <c r="AG126" i="1" s="1"/>
  <c r="AA124" i="1"/>
  <c r="AA126" i="1" s="1"/>
  <c r="P124" i="1"/>
  <c r="P126" i="1" s="1"/>
  <c r="S124" i="1"/>
  <c r="S126" i="1" s="1"/>
  <c r="AJ124" i="1"/>
  <c r="AJ126" i="1" s="1"/>
  <c r="AF124" i="1"/>
  <c r="AK121" i="1"/>
  <c r="H35" i="13"/>
  <c r="G35" i="13"/>
  <c r="BB125" i="1"/>
  <c r="H12" i="13" s="1"/>
  <c r="BA125" i="1"/>
  <c r="G12" i="13" s="1"/>
  <c r="D35" i="13"/>
  <c r="AZ125" i="1"/>
  <c r="F12" i="13" s="1"/>
  <c r="F58" i="13" s="1"/>
  <c r="BE125" i="1"/>
  <c r="L12" i="13" s="1"/>
  <c r="L58" i="13" s="1"/>
  <c r="E35" i="13"/>
  <c r="AY125" i="1"/>
  <c r="E12" i="13" s="1"/>
  <c r="BD125" i="1"/>
  <c r="K12" i="13" s="1"/>
  <c r="K58" i="13" s="1"/>
  <c r="BC125" i="1"/>
  <c r="J12" i="13" s="1"/>
  <c r="J58" i="13" s="1"/>
  <c r="AX125" i="1"/>
  <c r="D12" i="13" s="1"/>
  <c r="AR126" i="1"/>
  <c r="AT120" i="1"/>
  <c r="AC120" i="1"/>
  <c r="P120" i="1"/>
  <c r="AQ120" i="1"/>
  <c r="AM120" i="1"/>
  <c r="AO120" i="1"/>
  <c r="AS120" i="1"/>
  <c r="AG120" i="1"/>
  <c r="O120" i="1"/>
  <c r="Y120" i="1"/>
  <c r="AB120" i="1"/>
  <c r="R120" i="1"/>
  <c r="AJ120" i="1"/>
  <c r="U120" i="1"/>
  <c r="T120" i="1"/>
  <c r="AR120" i="1"/>
  <c r="S120" i="1"/>
  <c r="Z120" i="1"/>
  <c r="AD120" i="1"/>
  <c r="N120" i="1"/>
  <c r="AL120" i="1"/>
  <c r="W120" i="1"/>
  <c r="AF120" i="1"/>
  <c r="AA120" i="1"/>
  <c r="X120" i="1"/>
  <c r="AI120" i="1"/>
  <c r="Q120" i="1"/>
  <c r="AV120" i="1"/>
  <c r="AV122" i="1" s="1"/>
  <c r="L47" i="15"/>
  <c r="AH120" i="1"/>
  <c r="AU120" i="1"/>
  <c r="AP120" i="1"/>
  <c r="AK120" i="1"/>
  <c r="O130" i="1" l="1"/>
  <c r="H38" i="13"/>
  <c r="N130" i="1"/>
  <c r="T130" i="1"/>
  <c r="S130" i="1"/>
  <c r="P130" i="1"/>
  <c r="R130" i="1"/>
  <c r="AO122" i="1"/>
  <c r="AK130" i="1"/>
  <c r="AC130" i="1"/>
  <c r="AL130" i="1"/>
  <c r="U130" i="1"/>
  <c r="E38" i="13"/>
  <c r="G38" i="13"/>
  <c r="BB128" i="1"/>
  <c r="H15" i="13" s="1"/>
  <c r="BC128" i="1"/>
  <c r="J15" i="13" s="1"/>
  <c r="J61" i="13" s="1"/>
  <c r="BA128" i="1"/>
  <c r="G15" i="13" s="1"/>
  <c r="AY128" i="1"/>
  <c r="E15" i="13" s="1"/>
  <c r="AU130" i="1"/>
  <c r="AT130" i="1"/>
  <c r="BD128" i="1"/>
  <c r="K15" i="13" s="1"/>
  <c r="K61" i="13" s="1"/>
  <c r="Q130" i="1"/>
  <c r="AR130" i="1"/>
  <c r="AI130" i="1"/>
  <c r="AZ128" i="1"/>
  <c r="F15" i="13" s="1"/>
  <c r="AS130" i="1"/>
  <c r="AD130" i="1"/>
  <c r="AJ130" i="1"/>
  <c r="D38" i="13"/>
  <c r="BE128" i="1"/>
  <c r="L15" i="13" s="1"/>
  <c r="L61" i="13" s="1"/>
  <c r="F38" i="13"/>
  <c r="AX128" i="1"/>
  <c r="D15" i="13" s="1"/>
  <c r="Y130" i="1"/>
  <c r="AM130" i="1"/>
  <c r="W130" i="1"/>
  <c r="AO130" i="1"/>
  <c r="AO136" i="1" s="1"/>
  <c r="AO137" i="1" s="1"/>
  <c r="D39" i="13"/>
  <c r="D40" i="13" s="1"/>
  <c r="H44" i="13"/>
  <c r="H45" i="13" s="1"/>
  <c r="AU122" i="1"/>
  <c r="AU136" i="1" s="1"/>
  <c r="AU137" i="1" s="1"/>
  <c r="AA135" i="1"/>
  <c r="AB122" i="1"/>
  <c r="F39" i="13"/>
  <c r="E44" i="13"/>
  <c r="E45" i="13" s="1"/>
  <c r="G44" i="13"/>
  <c r="G45" i="13" s="1"/>
  <c r="G39" i="13"/>
  <c r="AH130" i="1"/>
  <c r="AZ134" i="1"/>
  <c r="F21" i="13" s="1"/>
  <c r="F22" i="13" s="1"/>
  <c r="E51" i="12" s="1"/>
  <c r="AY134" i="1"/>
  <c r="E21" i="13" s="1"/>
  <c r="E22" i="13" s="1"/>
  <c r="D51" i="12" s="1"/>
  <c r="F44" i="13"/>
  <c r="F45" i="13" s="1"/>
  <c r="AF130" i="1"/>
  <c r="BB134" i="1"/>
  <c r="H21" i="13" s="1"/>
  <c r="H22" i="13" s="1"/>
  <c r="G51" i="12" s="1"/>
  <c r="BE129" i="1"/>
  <c r="L16" i="13" s="1"/>
  <c r="L62" i="13" s="1"/>
  <c r="BA134" i="1"/>
  <c r="G21" i="13" s="1"/>
  <c r="G22" i="13" s="1"/>
  <c r="F51" i="12" s="1"/>
  <c r="BD124" i="1"/>
  <c r="K11" i="13" s="1"/>
  <c r="K57" i="13" s="1"/>
  <c r="K59" i="13" s="1"/>
  <c r="J7" i="4" s="1"/>
  <c r="H39" i="13"/>
  <c r="AZ129" i="1"/>
  <c r="F16" i="13" s="1"/>
  <c r="D44" i="13"/>
  <c r="D45" i="13" s="1"/>
  <c r="G31" i="13"/>
  <c r="AX121" i="1"/>
  <c r="D8" i="13" s="1"/>
  <c r="BC129" i="1"/>
  <c r="J16" i="13" s="1"/>
  <c r="J62" i="13" s="1"/>
  <c r="AY129" i="1"/>
  <c r="E16" i="13" s="1"/>
  <c r="AF122" i="1"/>
  <c r="AD122" i="1"/>
  <c r="AD136" i="1" s="1"/>
  <c r="AD137" i="1" s="1"/>
  <c r="AS122" i="1"/>
  <c r="BC134" i="1"/>
  <c r="J21" i="13" s="1"/>
  <c r="J67" i="13" s="1"/>
  <c r="T126" i="1"/>
  <c r="BD126" i="1" s="1"/>
  <c r="BD134" i="1"/>
  <c r="K21" i="13" s="1"/>
  <c r="K22" i="13" s="1"/>
  <c r="X130" i="1"/>
  <c r="E39" i="13"/>
  <c r="E40" i="13" s="1"/>
  <c r="AT122" i="1"/>
  <c r="BE134" i="1"/>
  <c r="L21" i="13" s="1"/>
  <c r="L22" i="13" s="1"/>
  <c r="AB130" i="1"/>
  <c r="AX134" i="1"/>
  <c r="AX135" i="1" s="1"/>
  <c r="AY121" i="1"/>
  <c r="E8" i="13" s="1"/>
  <c r="D31" i="13"/>
  <c r="D54" i="13" s="1"/>
  <c r="E31" i="13"/>
  <c r="AI122" i="1"/>
  <c r="AA130" i="1"/>
  <c r="BA121" i="1"/>
  <c r="G8" i="13" s="1"/>
  <c r="AG122" i="1"/>
  <c r="AG136" i="1" s="1"/>
  <c r="AG137" i="1" s="1"/>
  <c r="BC124" i="1"/>
  <c r="J11" i="13" s="1"/>
  <c r="J13" i="13" s="1"/>
  <c r="D34" i="13"/>
  <c r="D36" i="13" s="1"/>
  <c r="Z130" i="1"/>
  <c r="AX129" i="1"/>
  <c r="D16" i="13" s="1"/>
  <c r="AP122" i="1"/>
  <c r="AP136" i="1" s="1"/>
  <c r="AP137" i="1" s="1"/>
  <c r="AR122" i="1"/>
  <c r="AQ122" i="1"/>
  <c r="AQ136" i="1" s="1"/>
  <c r="AQ137" i="1" s="1"/>
  <c r="BA129" i="1"/>
  <c r="G16" i="13" s="1"/>
  <c r="BD129" i="1"/>
  <c r="K16" i="13" s="1"/>
  <c r="K62" i="13" s="1"/>
  <c r="AZ124" i="1"/>
  <c r="F11" i="13" s="1"/>
  <c r="BE121" i="1"/>
  <c r="L8" i="13" s="1"/>
  <c r="L54" i="13" s="1"/>
  <c r="F31" i="13"/>
  <c r="AK122" i="1"/>
  <c r="AK136" i="1" s="1"/>
  <c r="AK137" i="1" s="1"/>
  <c r="AL122" i="1"/>
  <c r="AM122" i="1"/>
  <c r="BB129" i="1"/>
  <c r="H16" i="13" s="1"/>
  <c r="AF126" i="1"/>
  <c r="G58" i="13"/>
  <c r="AH122" i="1"/>
  <c r="F34" i="13"/>
  <c r="F36" i="13" s="1"/>
  <c r="G34" i="13"/>
  <c r="G36" i="13" s="1"/>
  <c r="BE124" i="1"/>
  <c r="L11" i="13" s="1"/>
  <c r="L57" i="13" s="1"/>
  <c r="L59" i="13" s="1"/>
  <c r="K7" i="4" s="1"/>
  <c r="H31" i="13"/>
  <c r="BC126" i="1"/>
  <c r="BD121" i="1"/>
  <c r="K8" i="13" s="1"/>
  <c r="K54" i="13" s="1"/>
  <c r="AZ121" i="1"/>
  <c r="F8" i="13" s="1"/>
  <c r="AX124" i="1"/>
  <c r="D11" i="13" s="1"/>
  <c r="D13" i="13" s="1"/>
  <c r="BC121" i="1"/>
  <c r="J8" i="13" s="1"/>
  <c r="J54" i="13" s="1"/>
  <c r="AC122" i="1"/>
  <c r="BA124" i="1"/>
  <c r="G11" i="13" s="1"/>
  <c r="G13" i="13" s="1"/>
  <c r="AJ122" i="1"/>
  <c r="BB121" i="1"/>
  <c r="H8" i="13" s="1"/>
  <c r="Z126" i="1"/>
  <c r="BA126" i="1" s="1"/>
  <c r="H34" i="13"/>
  <c r="H36" i="13" s="1"/>
  <c r="AY126" i="1"/>
  <c r="AY124" i="1"/>
  <c r="E11" i="13" s="1"/>
  <c r="E13" i="13" s="1"/>
  <c r="E34" i="13"/>
  <c r="E36" i="13" s="1"/>
  <c r="BB124" i="1"/>
  <c r="H11" i="13" s="1"/>
  <c r="H58" i="13"/>
  <c r="BB126" i="1"/>
  <c r="I12" i="13"/>
  <c r="I35" i="13"/>
  <c r="E58" i="13"/>
  <c r="BE126" i="1"/>
  <c r="M58" i="13"/>
  <c r="AZ126" i="1"/>
  <c r="AV136" i="1"/>
  <c r="AV137" i="1" s="1"/>
  <c r="D58" i="13"/>
  <c r="M12" i="13"/>
  <c r="BG125" i="1"/>
  <c r="AA122" i="1"/>
  <c r="H30" i="13"/>
  <c r="N122" i="1"/>
  <c r="AX120" i="1"/>
  <c r="BB120" i="1"/>
  <c r="H7" i="13" s="1"/>
  <c r="R122" i="1"/>
  <c r="BA120" i="1"/>
  <c r="G7" i="13" s="1"/>
  <c r="Q122" i="1"/>
  <c r="BD120" i="1"/>
  <c r="K7" i="13" s="1"/>
  <c r="T122" i="1"/>
  <c r="P122" i="1"/>
  <c r="AZ120" i="1"/>
  <c r="F7" i="13" s="1"/>
  <c r="W122" i="1"/>
  <c r="D30" i="13"/>
  <c r="G30" i="13"/>
  <c r="Z122" i="1"/>
  <c r="BE120" i="1"/>
  <c r="L7" i="13" s="1"/>
  <c r="U122" i="1"/>
  <c r="Y122" i="1"/>
  <c r="F30" i="13"/>
  <c r="E30" i="13"/>
  <c r="X122" i="1"/>
  <c r="BC120" i="1"/>
  <c r="J7" i="13" s="1"/>
  <c r="S122" i="1"/>
  <c r="O122" i="1"/>
  <c r="AY120" i="1"/>
  <c r="E7" i="13" s="1"/>
  <c r="AY130" i="1" l="1"/>
  <c r="H40" i="13"/>
  <c r="H61" i="13"/>
  <c r="BD130" i="1"/>
  <c r="AJ136" i="1"/>
  <c r="AJ137" i="1" s="1"/>
  <c r="G61" i="13"/>
  <c r="E61" i="13"/>
  <c r="AL136" i="1"/>
  <c r="AL137" i="1" s="1"/>
  <c r="AC136" i="1"/>
  <c r="AC137" i="1" s="1"/>
  <c r="G17" i="13"/>
  <c r="M15" i="13"/>
  <c r="G40" i="13"/>
  <c r="H17" i="13"/>
  <c r="E17" i="13"/>
  <c r="AS136" i="1"/>
  <c r="AS137" i="1" s="1"/>
  <c r="L63" i="13"/>
  <c r="K10" i="4" s="1"/>
  <c r="W136" i="1"/>
  <c r="W137" i="1" s="1"/>
  <c r="AR136" i="1"/>
  <c r="AR137" i="1" s="1"/>
  <c r="F40" i="13"/>
  <c r="BE130" i="1"/>
  <c r="AI136" i="1"/>
  <c r="AI137" i="1" s="1"/>
  <c r="D61" i="13"/>
  <c r="F61" i="13"/>
  <c r="I15" i="13"/>
  <c r="M61" i="13"/>
  <c r="AT136" i="1"/>
  <c r="AT137" i="1" s="1"/>
  <c r="I38" i="13"/>
  <c r="BA130" i="1"/>
  <c r="BG128" i="1"/>
  <c r="F17" i="13"/>
  <c r="BB130" i="1"/>
  <c r="AZ130" i="1"/>
  <c r="Y136" i="1"/>
  <c r="Y137" i="1" s="1"/>
  <c r="AM136" i="1"/>
  <c r="AM137" i="1" s="1"/>
  <c r="AX130" i="1"/>
  <c r="D62" i="13"/>
  <c r="C64" i="12" s="1"/>
  <c r="H57" i="13"/>
  <c r="H59" i="13" s="1"/>
  <c r="G67" i="6" s="1"/>
  <c r="AB136" i="1"/>
  <c r="AB137" i="1" s="1"/>
  <c r="E67" i="13"/>
  <c r="D13" i="4" s="1"/>
  <c r="D38" i="4" s="1"/>
  <c r="D63" i="4" s="1"/>
  <c r="AF136" i="1"/>
  <c r="AF137" i="1" s="1"/>
  <c r="G67" i="13"/>
  <c r="G68" i="13" s="1"/>
  <c r="F65" i="12" s="1"/>
  <c r="F79" i="12" s="1"/>
  <c r="X136" i="1"/>
  <c r="X137" i="1" s="1"/>
  <c r="AZ135" i="1"/>
  <c r="AH136" i="1"/>
  <c r="AH137" i="1" s="1"/>
  <c r="AY135" i="1"/>
  <c r="BB135" i="1"/>
  <c r="J22" i="13"/>
  <c r="J17" i="13"/>
  <c r="F67" i="13"/>
  <c r="F68" i="13" s="1"/>
  <c r="E65" i="12" s="1"/>
  <c r="E79" i="12" s="1"/>
  <c r="F62" i="13"/>
  <c r="D50" i="12"/>
  <c r="K13" i="13"/>
  <c r="G62" i="13"/>
  <c r="G54" i="13"/>
  <c r="G32" i="13"/>
  <c r="BA135" i="1"/>
  <c r="E50" i="12"/>
  <c r="H67" i="13"/>
  <c r="H68" i="13" s="1"/>
  <c r="G65" i="12" s="1"/>
  <c r="G79" i="12" s="1"/>
  <c r="BC130" i="1"/>
  <c r="L17" i="13"/>
  <c r="M62" i="13"/>
  <c r="M63" i="13" s="1"/>
  <c r="K67" i="13"/>
  <c r="J13" i="4" s="1"/>
  <c r="H32" i="13"/>
  <c r="H54" i="13"/>
  <c r="E54" i="13"/>
  <c r="D17" i="13"/>
  <c r="E32" i="13"/>
  <c r="I44" i="13"/>
  <c r="I45" i="13" s="1"/>
  <c r="BC135" i="1"/>
  <c r="H13" i="13"/>
  <c r="I39" i="13"/>
  <c r="I40" i="13" s="1"/>
  <c r="H62" i="13"/>
  <c r="E62" i="13"/>
  <c r="D64" i="12" s="1"/>
  <c r="D78" i="12" s="1"/>
  <c r="D21" i="13"/>
  <c r="D22" i="13" s="1"/>
  <c r="C51" i="12" s="1"/>
  <c r="H51" i="12" s="1"/>
  <c r="J57" i="13"/>
  <c r="M57" i="13" s="1"/>
  <c r="M59" i="13" s="1"/>
  <c r="BD135" i="1"/>
  <c r="F57" i="13"/>
  <c r="F59" i="13" s="1"/>
  <c r="E67" i="6" s="1"/>
  <c r="BG134" i="1"/>
  <c r="BG135" i="1" s="1"/>
  <c r="M11" i="13"/>
  <c r="M13" i="13" s="1"/>
  <c r="L67" i="13"/>
  <c r="M21" i="13"/>
  <c r="M22" i="13" s="1"/>
  <c r="BE135" i="1"/>
  <c r="AX126" i="1"/>
  <c r="F13" i="13"/>
  <c r="F54" i="13"/>
  <c r="L13" i="13"/>
  <c r="E46" i="13"/>
  <c r="D15" i="15" s="1"/>
  <c r="AA136" i="1"/>
  <c r="AA137" i="1" s="1"/>
  <c r="K63" i="13"/>
  <c r="J10" i="4" s="1"/>
  <c r="D57" i="13"/>
  <c r="D59" i="13" s="1"/>
  <c r="I31" i="13"/>
  <c r="M16" i="13"/>
  <c r="I16" i="13"/>
  <c r="C50" i="12"/>
  <c r="BG129" i="1"/>
  <c r="M54" i="13"/>
  <c r="F32" i="13"/>
  <c r="F50" i="12"/>
  <c r="K17" i="13"/>
  <c r="G57" i="13"/>
  <c r="G59" i="13" s="1"/>
  <c r="F7" i="4" s="1"/>
  <c r="Z136" i="1"/>
  <c r="Z137" i="1" s="1"/>
  <c r="I8" i="13"/>
  <c r="BG124" i="1"/>
  <c r="BG126" i="1" s="1"/>
  <c r="M8" i="13"/>
  <c r="I34" i="13"/>
  <c r="I36" i="13" s="1"/>
  <c r="I11" i="13"/>
  <c r="I13" i="13" s="1"/>
  <c r="BG121" i="1"/>
  <c r="G50" i="12"/>
  <c r="E57" i="13"/>
  <c r="E59" i="13" s="1"/>
  <c r="D67" i="6" s="1"/>
  <c r="I58" i="13"/>
  <c r="J63" i="13"/>
  <c r="I10" i="4" s="1"/>
  <c r="D48" i="12"/>
  <c r="E53" i="13"/>
  <c r="E9" i="13"/>
  <c r="E23" i="13" s="1"/>
  <c r="BD122" i="1"/>
  <c r="T136" i="1"/>
  <c r="T137" i="1" s="1"/>
  <c r="BG120" i="1"/>
  <c r="D7" i="13"/>
  <c r="AY122" i="1"/>
  <c r="O136" i="1"/>
  <c r="O137" i="1" s="1"/>
  <c r="U136" i="1"/>
  <c r="U137" i="1" s="1"/>
  <c r="BE122" i="1"/>
  <c r="D32" i="13"/>
  <c r="D46" i="13" s="1"/>
  <c r="C53" i="12" s="1"/>
  <c r="I30" i="13"/>
  <c r="K53" i="13"/>
  <c r="K55" i="13" s="1"/>
  <c r="J6" i="4" s="1"/>
  <c r="K9" i="13"/>
  <c r="N136" i="1"/>
  <c r="N137" i="1" s="1"/>
  <c r="AX122" i="1"/>
  <c r="S136" i="1"/>
  <c r="S137" i="1" s="1"/>
  <c r="BC122" i="1"/>
  <c r="L53" i="13"/>
  <c r="L55" i="13" s="1"/>
  <c r="K6" i="4" s="1"/>
  <c r="L9" i="13"/>
  <c r="F53" i="13"/>
  <c r="F9" i="13"/>
  <c r="E48" i="12"/>
  <c r="Q136" i="1"/>
  <c r="Q137" i="1" s="1"/>
  <c r="BA122" i="1"/>
  <c r="R136" i="1"/>
  <c r="R137" i="1" s="1"/>
  <c r="BB122" i="1"/>
  <c r="J9" i="13"/>
  <c r="J53" i="13"/>
  <c r="M7" i="13"/>
  <c r="P136" i="1"/>
  <c r="P137" i="1" s="1"/>
  <c r="AZ122" i="1"/>
  <c r="G9" i="13"/>
  <c r="G53" i="13"/>
  <c r="F48" i="12"/>
  <c r="H53" i="13"/>
  <c r="H9" i="13"/>
  <c r="G48" i="12"/>
  <c r="I13" i="4"/>
  <c r="J68" i="13"/>
  <c r="H46" i="13" l="1"/>
  <c r="G15" i="15" s="1"/>
  <c r="G63" i="13"/>
  <c r="F68" i="6" s="1"/>
  <c r="G23" i="13"/>
  <c r="M17" i="13"/>
  <c r="G46" i="13"/>
  <c r="F15" i="15" s="1"/>
  <c r="G64" i="12"/>
  <c r="G78" i="12" s="1"/>
  <c r="I61" i="13"/>
  <c r="BG130" i="1"/>
  <c r="F63" i="13"/>
  <c r="E68" i="6" s="1"/>
  <c r="F46" i="13"/>
  <c r="E53" i="12" s="1"/>
  <c r="I17" i="13"/>
  <c r="D63" i="13"/>
  <c r="C10" i="4" s="1"/>
  <c r="E68" i="13"/>
  <c r="D65" i="12" s="1"/>
  <c r="D79" i="12" s="1"/>
  <c r="AZ136" i="1"/>
  <c r="AZ137" i="1" s="1"/>
  <c r="F13" i="4"/>
  <c r="F38" i="4" s="1"/>
  <c r="F63" i="4" s="1"/>
  <c r="AY136" i="1"/>
  <c r="AY137" i="1" s="1"/>
  <c r="BB136" i="1"/>
  <c r="BB137" i="1" s="1"/>
  <c r="E13" i="4"/>
  <c r="E38" i="4" s="1"/>
  <c r="E63" i="4" s="1"/>
  <c r="BA136" i="1"/>
  <c r="BA137" i="1" s="1"/>
  <c r="J23" i="13"/>
  <c r="J59" i="13"/>
  <c r="I7" i="4" s="1"/>
  <c r="N7" i="4" s="1"/>
  <c r="F64" i="12"/>
  <c r="F78" i="12" s="1"/>
  <c r="F67" i="6"/>
  <c r="BC136" i="1"/>
  <c r="BC137" i="1" s="1"/>
  <c r="G13" i="4"/>
  <c r="G38" i="4" s="1"/>
  <c r="G63" i="4" s="1"/>
  <c r="K68" i="13"/>
  <c r="K69" i="13" s="1"/>
  <c r="H23" i="13"/>
  <c r="E64" i="12"/>
  <c r="E78" i="12" s="1"/>
  <c r="E7" i="4"/>
  <c r="E63" i="13"/>
  <c r="D10" i="4" s="1"/>
  <c r="M67" i="13"/>
  <c r="M68" i="13" s="1"/>
  <c r="L23" i="13"/>
  <c r="AX136" i="1"/>
  <c r="AX137" i="1" s="1"/>
  <c r="K13" i="4"/>
  <c r="N13" i="4" s="1"/>
  <c r="D53" i="12"/>
  <c r="BD136" i="1"/>
  <c r="BD137" i="1" s="1"/>
  <c r="H63" i="13"/>
  <c r="G10" i="4" s="1"/>
  <c r="I21" i="13"/>
  <c r="I22" i="13" s="1"/>
  <c r="N10" i="4"/>
  <c r="I62" i="13"/>
  <c r="L68" i="13"/>
  <c r="L69" i="13" s="1"/>
  <c r="F23" i="13"/>
  <c r="F24" i="13" s="1"/>
  <c r="K23" i="13"/>
  <c r="BE136" i="1"/>
  <c r="BE137" i="1" s="1"/>
  <c r="D67" i="13"/>
  <c r="I67" i="13" s="1"/>
  <c r="I68" i="13" s="1"/>
  <c r="H47" i="13"/>
  <c r="I54" i="13"/>
  <c r="E47" i="13"/>
  <c r="I32" i="13"/>
  <c r="I46" i="13" s="1"/>
  <c r="N15" i="15" s="1"/>
  <c r="G53" i="12"/>
  <c r="H50" i="12"/>
  <c r="M9" i="13"/>
  <c r="M23" i="13" s="1"/>
  <c r="G47" i="13"/>
  <c r="I57" i="13"/>
  <c r="I59" i="13" s="1"/>
  <c r="BG122" i="1"/>
  <c r="D7" i="4"/>
  <c r="G7" i="4"/>
  <c r="C15" i="15"/>
  <c r="D47" i="13"/>
  <c r="F55" i="13"/>
  <c r="E62" i="12"/>
  <c r="E76" i="12" s="1"/>
  <c r="D9" i="13"/>
  <c r="D23" i="13" s="1"/>
  <c r="D53" i="13"/>
  <c r="I7" i="13"/>
  <c r="I9" i="13" s="1"/>
  <c r="C48" i="12"/>
  <c r="H48" i="12" s="1"/>
  <c r="G55" i="13"/>
  <c r="F62" i="12"/>
  <c r="F76" i="12" s="1"/>
  <c r="E55" i="13"/>
  <c r="D62" i="12"/>
  <c r="D76" i="12" s="1"/>
  <c r="M53" i="13"/>
  <c r="M55" i="13" s="1"/>
  <c r="J55" i="13"/>
  <c r="I6" i="4" s="1"/>
  <c r="N6" i="4" s="1"/>
  <c r="J14" i="4"/>
  <c r="H55" i="13"/>
  <c r="G62" i="12"/>
  <c r="G76" i="12" s="1"/>
  <c r="C78" i="12"/>
  <c r="C67" i="6"/>
  <c r="C7" i="4"/>
  <c r="F10" i="4" l="1"/>
  <c r="I63" i="13"/>
  <c r="F53" i="12"/>
  <c r="F69" i="13"/>
  <c r="BG136" i="1"/>
  <c r="BG137" i="1" s="1"/>
  <c r="E15" i="15"/>
  <c r="H15" i="15" s="1"/>
  <c r="O15" i="15" s="1"/>
  <c r="E10" i="4"/>
  <c r="F47" i="13"/>
  <c r="I47" i="13" s="1"/>
  <c r="C68" i="6"/>
  <c r="E24" i="13"/>
  <c r="J24" i="13"/>
  <c r="E69" i="13"/>
  <c r="E70" i="13" s="1"/>
  <c r="H24" i="13"/>
  <c r="G24" i="13"/>
  <c r="D24" i="13"/>
  <c r="C13" i="4"/>
  <c r="C38" i="4" s="1"/>
  <c r="H38" i="4" s="1"/>
  <c r="K70" i="13"/>
  <c r="J15" i="4"/>
  <c r="L24" i="13"/>
  <c r="H64" i="12"/>
  <c r="M69" i="13"/>
  <c r="L19" i="15" s="1"/>
  <c r="H78" i="12"/>
  <c r="D68" i="6"/>
  <c r="L70" i="13"/>
  <c r="K14" i="4"/>
  <c r="K15" i="4" s="1"/>
  <c r="K24" i="13"/>
  <c r="I23" i="13"/>
  <c r="I48" i="13" s="1"/>
  <c r="F70" i="13"/>
  <c r="G68" i="6"/>
  <c r="D68" i="13"/>
  <c r="C65" i="12" s="1"/>
  <c r="H65" i="12" s="1"/>
  <c r="H53" i="12"/>
  <c r="H7" i="4"/>
  <c r="F72" i="12"/>
  <c r="I14" i="4"/>
  <c r="E72" i="12"/>
  <c r="D72" i="12"/>
  <c r="J19" i="15"/>
  <c r="K19" i="15"/>
  <c r="F66" i="6"/>
  <c r="F69" i="6" s="1"/>
  <c r="F72" i="6" s="1"/>
  <c r="F74" i="6" s="1"/>
  <c r="F76" i="6" s="1"/>
  <c r="F82" i="6" s="1"/>
  <c r="F96" i="6" s="1"/>
  <c r="F6" i="4"/>
  <c r="D55" i="13"/>
  <c r="C62" i="12"/>
  <c r="I53" i="13"/>
  <c r="I55" i="13" s="1"/>
  <c r="I69" i="13" s="1"/>
  <c r="J69" i="13"/>
  <c r="G69" i="13"/>
  <c r="G70" i="13" s="1"/>
  <c r="G6" i="4"/>
  <c r="G14" i="4" s="1"/>
  <c r="G66" i="6"/>
  <c r="D6" i="4"/>
  <c r="D14" i="4" s="1"/>
  <c r="D15" i="4" s="1"/>
  <c r="D66" i="6"/>
  <c r="H69" i="13"/>
  <c r="H70" i="13" s="1"/>
  <c r="G72" i="12"/>
  <c r="E66" i="6"/>
  <c r="E69" i="6" s="1"/>
  <c r="E72" i="6" s="1"/>
  <c r="E74" i="6" s="1"/>
  <c r="E76" i="6" s="1"/>
  <c r="E82" i="6" s="1"/>
  <c r="E96" i="6" s="1"/>
  <c r="E6" i="4"/>
  <c r="H67" i="6"/>
  <c r="H10" i="4" l="1"/>
  <c r="F14" i="4"/>
  <c r="F15" i="4" s="1"/>
  <c r="E14" i="4"/>
  <c r="E15" i="4" s="1"/>
  <c r="C63" i="4"/>
  <c r="H63" i="4" s="1"/>
  <c r="H13" i="4"/>
  <c r="G69" i="6"/>
  <c r="G72" i="6" s="1"/>
  <c r="G74" i="6" s="1"/>
  <c r="G76" i="6" s="1"/>
  <c r="G81" i="6" s="1"/>
  <c r="G95" i="6" s="1"/>
  <c r="H68" i="6"/>
  <c r="N14" i="4"/>
  <c r="N15" i="4" s="1"/>
  <c r="M24" i="13"/>
  <c r="D69" i="6"/>
  <c r="D70" i="6" s="1"/>
  <c r="M15" i="15"/>
  <c r="C79" i="12"/>
  <c r="H79" i="12" s="1"/>
  <c r="I15" i="4"/>
  <c r="F70" i="6"/>
  <c r="E70" i="6"/>
  <c r="G15" i="4"/>
  <c r="H62" i="12"/>
  <c r="H72" i="12" s="1"/>
  <c r="C76" i="12"/>
  <c r="H76" i="12" s="1"/>
  <c r="C72" i="12"/>
  <c r="C66" i="6"/>
  <c r="C6" i="4"/>
  <c r="D69" i="13"/>
  <c r="D70" i="13" s="1"/>
  <c r="I70" i="13" s="1"/>
  <c r="I19" i="15"/>
  <c r="J70" i="13"/>
  <c r="M70" i="13" s="1"/>
  <c r="F81" i="6"/>
  <c r="F95" i="6" s="1"/>
  <c r="E81" i="6"/>
  <c r="F80" i="6"/>
  <c r="F94" i="6" s="1"/>
  <c r="E89" i="6"/>
  <c r="E90" i="6" s="1"/>
  <c r="E91" i="6" s="1"/>
  <c r="E52" i="12"/>
  <c r="E54" i="12" s="1"/>
  <c r="E56" i="12" s="1"/>
  <c r="E57" i="12" s="1"/>
  <c r="E16" i="15"/>
  <c r="E18" i="15" s="1"/>
  <c r="E66" i="12"/>
  <c r="F22" i="4"/>
  <c r="F35" i="4" s="1"/>
  <c r="F60" i="4" s="1"/>
  <c r="F89" i="6"/>
  <c r="F90" i="6" s="1"/>
  <c r="F91" i="6" s="1"/>
  <c r="F52" i="12"/>
  <c r="F54" i="12" s="1"/>
  <c r="F56" i="12" s="1"/>
  <c r="F57" i="12" s="1"/>
  <c r="F66" i="12"/>
  <c r="F16" i="15"/>
  <c r="F18" i="15" s="1"/>
  <c r="E22" i="4"/>
  <c r="E35" i="4" s="1"/>
  <c r="E60" i="4" s="1"/>
  <c r="E80" i="6"/>
  <c r="E94" i="6" s="1"/>
  <c r="G89" i="6" l="1"/>
  <c r="G90" i="6" s="1"/>
  <c r="G91" i="6" s="1"/>
  <c r="G82" i="6"/>
  <c r="G96" i="6" s="1"/>
  <c r="G66" i="12"/>
  <c r="G68" i="12" s="1"/>
  <c r="G70" i="12" s="1"/>
  <c r="G70" i="6"/>
  <c r="G52" i="12"/>
  <c r="G54" i="12" s="1"/>
  <c r="G56" i="12" s="1"/>
  <c r="G57" i="12" s="1"/>
  <c r="G19" i="4"/>
  <c r="G32" i="4" s="1"/>
  <c r="G57" i="4" s="1"/>
  <c r="D72" i="6"/>
  <c r="D74" i="6" s="1"/>
  <c r="D76" i="6" s="1"/>
  <c r="D52" i="12" s="1"/>
  <c r="D54" i="12" s="1"/>
  <c r="D56" i="12" s="1"/>
  <c r="D57" i="12" s="1"/>
  <c r="G80" i="6"/>
  <c r="G94" i="6" s="1"/>
  <c r="G16" i="15"/>
  <c r="G18" i="15" s="1"/>
  <c r="G6" i="44" s="1"/>
  <c r="E19" i="4"/>
  <c r="E32" i="4" s="1"/>
  <c r="E57" i="4" s="1"/>
  <c r="E95" i="6"/>
  <c r="C69" i="6"/>
  <c r="H66" i="6"/>
  <c r="H69" i="6" s="1"/>
  <c r="H70" i="6" s="1"/>
  <c r="H6" i="4"/>
  <c r="H14" i="4" s="1"/>
  <c r="H15" i="4" s="1"/>
  <c r="C14" i="4"/>
  <c r="C15" i="4" s="1"/>
  <c r="F19" i="4"/>
  <c r="F32" i="4" s="1"/>
  <c r="F57" i="4" s="1"/>
  <c r="F18" i="4"/>
  <c r="F31" i="4" s="1"/>
  <c r="F83" i="6"/>
  <c r="F84" i="6" s="1"/>
  <c r="F16" i="44"/>
  <c r="F23" i="44" s="1"/>
  <c r="F6" i="44"/>
  <c r="E18" i="4"/>
  <c r="E83" i="6"/>
  <c r="E84" i="6" s="1"/>
  <c r="G80" i="12"/>
  <c r="G82" i="12" s="1"/>
  <c r="G84" i="12" s="1"/>
  <c r="F97" i="6"/>
  <c r="F101" i="6" s="1"/>
  <c r="F102" i="6" s="1"/>
  <c r="F80" i="12"/>
  <c r="F82" i="12" s="1"/>
  <c r="F84" i="12" s="1"/>
  <c r="F68" i="12"/>
  <c r="F70" i="12" s="1"/>
  <c r="F71" i="12" s="1"/>
  <c r="E80" i="12"/>
  <c r="E82" i="12" s="1"/>
  <c r="E84" i="12" s="1"/>
  <c r="E68" i="12"/>
  <c r="E70" i="12" s="1"/>
  <c r="E71" i="12" s="1"/>
  <c r="G16" i="44"/>
  <c r="G23" i="44" s="1"/>
  <c r="E16" i="44"/>
  <c r="E23" i="44" s="1"/>
  <c r="E6" i="44"/>
  <c r="G71" i="12" l="1"/>
  <c r="D80" i="6"/>
  <c r="D94" i="6" s="1"/>
  <c r="D81" i="6"/>
  <c r="D95" i="6" s="1"/>
  <c r="G22" i="4"/>
  <c r="G35" i="4" s="1"/>
  <c r="G60" i="4" s="1"/>
  <c r="D82" i="6"/>
  <c r="D89" i="6"/>
  <c r="D90" i="6" s="1"/>
  <c r="D91" i="6" s="1"/>
  <c r="G83" i="6"/>
  <c r="G84" i="6" s="1"/>
  <c r="G18" i="4"/>
  <c r="G31" i="4" s="1"/>
  <c r="D16" i="15"/>
  <c r="D18" i="15" s="1"/>
  <c r="D6" i="44" s="1"/>
  <c r="D66" i="12"/>
  <c r="D80" i="12" s="1"/>
  <c r="D82" i="12" s="1"/>
  <c r="D84" i="12" s="1"/>
  <c r="C70" i="6"/>
  <c r="C72" i="6"/>
  <c r="F26" i="4"/>
  <c r="F27" i="4" s="1"/>
  <c r="E85" i="12"/>
  <c r="E97" i="6"/>
  <c r="E101" i="6" s="1"/>
  <c r="E102" i="6" s="1"/>
  <c r="E31" i="4"/>
  <c r="E26" i="4"/>
  <c r="G85" i="12"/>
  <c r="G97" i="6"/>
  <c r="G101" i="6" s="1"/>
  <c r="G102" i="6" s="1"/>
  <c r="F56" i="4"/>
  <c r="F39" i="4"/>
  <c r="F40" i="4" s="1"/>
  <c r="F85" i="12"/>
  <c r="D18" i="4" l="1"/>
  <c r="D31" i="4" s="1"/>
  <c r="D56" i="4" s="1"/>
  <c r="D83" i="6"/>
  <c r="D84" i="6" s="1"/>
  <c r="D22" i="4"/>
  <c r="D35" i="4" s="1"/>
  <c r="D60" i="4" s="1"/>
  <c r="D19" i="4"/>
  <c r="D32" i="4" s="1"/>
  <c r="D57" i="4" s="1"/>
  <c r="G26" i="4"/>
  <c r="G19" i="15" s="1"/>
  <c r="D96" i="6"/>
  <c r="D97" i="6" s="1"/>
  <c r="D101" i="6" s="1"/>
  <c r="D102" i="6" s="1"/>
  <c r="D16" i="44"/>
  <c r="D23" i="44" s="1"/>
  <c r="D68" i="12"/>
  <c r="D70" i="12" s="1"/>
  <c r="D71" i="12" s="1"/>
  <c r="C74" i="6"/>
  <c r="C76" i="6" s="1"/>
  <c r="H72" i="6"/>
  <c r="H74" i="6" s="1"/>
  <c r="F64" i="4"/>
  <c r="F65" i="4" s="1"/>
  <c r="F19" i="15"/>
  <c r="G27" i="4"/>
  <c r="E27" i="4"/>
  <c r="E19" i="15"/>
  <c r="G39" i="4"/>
  <c r="G40" i="4" s="1"/>
  <c r="G56" i="4"/>
  <c r="E39" i="4"/>
  <c r="E40" i="4" s="1"/>
  <c r="E56" i="4"/>
  <c r="E64" i="4" s="1"/>
  <c r="E65" i="4" s="1"/>
  <c r="D39" i="4" l="1"/>
  <c r="D40" i="4" s="1"/>
  <c r="D64" i="4"/>
  <c r="D65" i="4" s="1"/>
  <c r="D26" i="4"/>
  <c r="D27" i="4" s="1"/>
  <c r="D85" i="12"/>
  <c r="C66" i="12"/>
  <c r="C82" i="6"/>
  <c r="C96" i="6" s="1"/>
  <c r="C16" i="15"/>
  <c r="C81" i="6"/>
  <c r="C95" i="6" s="1"/>
  <c r="C52" i="12"/>
  <c r="C80" i="6"/>
  <c r="C94" i="6" s="1"/>
  <c r="C89" i="6"/>
  <c r="H76" i="6"/>
  <c r="N16" i="15" s="1"/>
  <c r="G64" i="4"/>
  <c r="G65" i="4" s="1"/>
  <c r="D19" i="15" l="1"/>
  <c r="H95" i="6"/>
  <c r="C19" i="4"/>
  <c r="H81" i="6"/>
  <c r="C90" i="6"/>
  <c r="C91" i="6" s="1"/>
  <c r="H91" i="6" s="1"/>
  <c r="H89" i="6"/>
  <c r="H90" i="6" s="1"/>
  <c r="H16" i="15"/>
  <c r="C18" i="15"/>
  <c r="C83" i="6"/>
  <c r="C84" i="6" s="1"/>
  <c r="C18" i="4"/>
  <c r="H80" i="6"/>
  <c r="H96" i="6"/>
  <c r="C22" i="4"/>
  <c r="H82" i="6"/>
  <c r="C54" i="12"/>
  <c r="C56" i="12" s="1"/>
  <c r="C57" i="12" s="1"/>
  <c r="H52" i="12"/>
  <c r="H54" i="12" s="1"/>
  <c r="H56" i="12" s="1"/>
  <c r="H57" i="12" s="1"/>
  <c r="C80" i="12"/>
  <c r="H66" i="12"/>
  <c r="H68" i="12" s="1"/>
  <c r="H70" i="12" s="1"/>
  <c r="C68" i="12"/>
  <c r="C70" i="12" s="1"/>
  <c r="C71" i="12" l="1"/>
  <c r="C97" i="6"/>
  <c r="C101" i="6" s="1"/>
  <c r="C102" i="6" s="1"/>
  <c r="H94" i="6"/>
  <c r="H97" i="6" s="1"/>
  <c r="H101" i="6" s="1"/>
  <c r="H102" i="6" s="1"/>
  <c r="C16" i="44"/>
  <c r="C6" i="44"/>
  <c r="H6" i="44" s="1"/>
  <c r="O6" i="44" s="1"/>
  <c r="H71" i="12"/>
  <c r="H83" i="6"/>
  <c r="H84" i="6" s="1"/>
  <c r="O16" i="15"/>
  <c r="H18" i="15"/>
  <c r="M16" i="15"/>
  <c r="C32" i="4"/>
  <c r="H19" i="4"/>
  <c r="H80" i="12"/>
  <c r="H82" i="12" s="1"/>
  <c r="H84" i="12" s="1"/>
  <c r="H85" i="12" s="1"/>
  <c r="C82" i="12"/>
  <c r="C84" i="12" s="1"/>
  <c r="C85" i="12" s="1"/>
  <c r="C35" i="4"/>
  <c r="H22" i="4"/>
  <c r="C31" i="4"/>
  <c r="C26" i="4"/>
  <c r="C27" i="4" s="1"/>
  <c r="H18" i="4"/>
  <c r="M18" i="15" l="1"/>
  <c r="C19" i="15"/>
  <c r="H26" i="4"/>
  <c r="C60" i="4"/>
  <c r="H60" i="4" s="1"/>
  <c r="H35" i="4"/>
  <c r="H16" i="44"/>
  <c r="O16" i="44" s="1"/>
  <c r="C23" i="44"/>
  <c r="H23" i="44" s="1"/>
  <c r="O23" i="44" s="1"/>
  <c r="C57" i="4"/>
  <c r="H57" i="4" s="1"/>
  <c r="H32" i="4"/>
  <c r="C39" i="4"/>
  <c r="C40" i="4" s="1"/>
  <c r="H31" i="4"/>
  <c r="C56" i="4"/>
  <c r="C64" i="4" l="1"/>
  <c r="C65" i="4" s="1"/>
  <c r="H56" i="4"/>
  <c r="H64" i="4" s="1"/>
  <c r="H65" i="4" s="1"/>
  <c r="H39" i="4"/>
  <c r="H40" i="4" s="1"/>
  <c r="H27" i="4"/>
  <c r="H19" i="15"/>
  <c r="G31" i="9" l="1"/>
  <c r="H21" i="9"/>
  <c r="H31" i="9" l="1"/>
  <c r="C25" i="8"/>
  <c r="C24" i="8"/>
  <c r="C23" i="8" l="1"/>
  <c r="D24" i="8"/>
  <c r="C27" i="9" l="1"/>
  <c r="E24" i="8"/>
  <c r="C25" i="9" l="1"/>
  <c r="F24" i="8" l="1"/>
  <c r="G24" i="8" l="1"/>
  <c r="C26" i="8" l="1"/>
  <c r="C19" i="8"/>
  <c r="C27" i="8" s="1"/>
  <c r="D25" i="8"/>
  <c r="D23" i="8" l="1"/>
  <c r="C17" i="10" l="1"/>
  <c r="C26" i="9" l="1"/>
  <c r="C18" i="10" l="1"/>
  <c r="C13" i="10"/>
  <c r="D25" i="9" l="1"/>
  <c r="D27" i="9"/>
  <c r="C29" i="9"/>
  <c r="C20" i="9"/>
  <c r="C19" i="10"/>
  <c r="C30" i="9" l="1"/>
  <c r="D26" i="8" l="1"/>
  <c r="D19" i="8"/>
  <c r="D27" i="8" s="1"/>
  <c r="E26" i="8"/>
  <c r="E23" i="8" l="1"/>
  <c r="E25" i="8"/>
  <c r="D17" i="10" l="1"/>
  <c r="E19" i="8"/>
  <c r="E27" i="8" s="1"/>
  <c r="F23" i="8"/>
  <c r="F25" i="8"/>
  <c r="D26" i="9" l="1"/>
  <c r="D18" i="10"/>
  <c r="D13" i="10"/>
  <c r="D19" i="10" l="1"/>
  <c r="F27" i="9"/>
  <c r="E26" i="9" l="1"/>
  <c r="E27" i="9"/>
  <c r="D20" i="9"/>
  <c r="D29" i="9"/>
  <c r="E25" i="9"/>
  <c r="F25" i="9" l="1"/>
  <c r="D30" i="9"/>
  <c r="E17" i="10" l="1"/>
  <c r="E18" i="10" l="1"/>
  <c r="E13" i="10"/>
  <c r="E29" i="9" l="1"/>
  <c r="E20" i="9"/>
  <c r="E19" i="10"/>
  <c r="E30" i="9" l="1"/>
  <c r="F26" i="8" l="1"/>
  <c r="F19" i="8"/>
  <c r="F27" i="8" s="1"/>
  <c r="G26" i="8"/>
  <c r="G23" i="8" l="1"/>
  <c r="G25" i="8"/>
  <c r="G19" i="8" l="1"/>
  <c r="G27" i="8" s="1"/>
  <c r="F17" i="10"/>
  <c r="G26" i="9"/>
  <c r="F13" i="10"/>
  <c r="F18" i="10" l="1"/>
  <c r="F26" i="9"/>
  <c r="H16" i="9"/>
  <c r="H26" i="9" l="1"/>
  <c r="F19" i="10"/>
  <c r="F29" i="9" l="1"/>
  <c r="F20" i="9"/>
  <c r="G27" i="9"/>
  <c r="H27" i="9" s="1"/>
  <c r="H17" i="9"/>
  <c r="G25" i="9"/>
  <c r="H15" i="9"/>
  <c r="H25" i="9" l="1"/>
  <c r="F30" i="9"/>
  <c r="G17" i="10" l="1"/>
  <c r="H11" i="10"/>
  <c r="G18" i="10" l="1"/>
  <c r="H18" i="10" s="1"/>
  <c r="H12" i="10"/>
  <c r="H13" i="10" s="1"/>
  <c r="G13" i="10"/>
  <c r="H17" i="10"/>
  <c r="G19" i="10" l="1"/>
  <c r="H19" i="10"/>
  <c r="G29" i="9" l="1"/>
  <c r="H19" i="9"/>
  <c r="G20" i="9"/>
  <c r="H20" i="9" s="1"/>
  <c r="G30" i="9" l="1"/>
  <c r="H30" i="9" s="1"/>
  <c r="H29" i="9"/>
</calcChain>
</file>

<file path=xl/comments1.xml><?xml version="1.0" encoding="utf-8"?>
<comments xmlns="http://schemas.openxmlformats.org/spreadsheetml/2006/main">
  <authors>
    <author>Steven Martin</author>
  </authors>
  <commentList>
    <comment ref="G40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Average unit rate across all cable types, excluding feeder exit cable</t>
        </r>
      </text>
    </comment>
  </commentList>
</comments>
</file>

<file path=xl/comments2.xml><?xml version="1.0" encoding="utf-8"?>
<comments xmlns="http://schemas.openxmlformats.org/spreadsheetml/2006/main">
  <authors>
    <author>Steven Martin</author>
  </authors>
  <commentList>
    <comment ref="G39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Average unit rate across all cable types, excluding feeder exit cable</t>
        </r>
      </text>
    </comment>
  </commentList>
</comments>
</file>

<file path=xl/comments3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Average unit rate across all cable types, excluding feeder exit cable</t>
        </r>
      </text>
    </comment>
  </commentList>
</comments>
</file>

<file path=xl/comments4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Average unit rate across all cable types, excluding feeder exit cable</t>
        </r>
      </text>
    </comment>
  </commentList>
</comments>
</file>

<file path=xl/comments5.xml><?xml version="1.0" encoding="utf-8"?>
<comments xmlns="http://schemas.openxmlformats.org/spreadsheetml/2006/main">
  <authors>
    <author>Steven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Average unit rate across all cable types, excluding feeder exit cable</t>
        </r>
      </text>
    </comment>
  </commentList>
</comments>
</file>

<file path=xl/comments6.xml><?xml version="1.0" encoding="utf-8"?>
<comments xmlns="http://schemas.openxmlformats.org/spreadsheetml/2006/main">
  <authors>
    <author>Steven Martin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Equity raising costs increment</t>
        </r>
      </text>
    </comment>
  </commentList>
</comments>
</file>

<file path=xl/sharedStrings.xml><?xml version="1.0" encoding="utf-8"?>
<sst xmlns="http://schemas.openxmlformats.org/spreadsheetml/2006/main" count="3336" uniqueCount="732">
  <si>
    <t>Direct Material cost</t>
  </si>
  <si>
    <t>Direct Labour cost</t>
  </si>
  <si>
    <t>Direct Contract cost</t>
  </si>
  <si>
    <t>Direct Other cost</t>
  </si>
  <si>
    <t>Total Direct cost</t>
  </si>
  <si>
    <t>Total Direct</t>
  </si>
  <si>
    <t>Total</t>
  </si>
  <si>
    <t>Design</t>
  </si>
  <si>
    <t>Surge Arrestors</t>
  </si>
  <si>
    <t>ACR upgrades</t>
  </si>
  <si>
    <t>Finish Dt</t>
  </si>
  <si>
    <t>Zone Sub</t>
  </si>
  <si>
    <t>Start Contruction</t>
  </si>
  <si>
    <t>TOTAL</t>
  </si>
  <si>
    <t>CHECK</t>
  </si>
  <si>
    <t>Units</t>
  </si>
  <si>
    <t>HV Customers</t>
  </si>
  <si>
    <t>Network Balancing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</si>
  <si>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</si>
  <si>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</si>
  <si>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</si>
  <si>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</si>
  <si>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</si>
  <si>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</si>
  <si>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</si>
  <si>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Forecast Capital Expenditure – As Incurred ($m Real 2015)</t>
  </si>
  <si>
    <t>Direct + Ohs</t>
  </si>
  <si>
    <t>RAB Class</t>
  </si>
  <si>
    <t>Labour escalation</t>
  </si>
  <si>
    <t>Forecast Operating &amp; Maintenance ($m Real 2015)</t>
  </si>
  <si>
    <t>Annual Testing</t>
  </si>
  <si>
    <t>Training &amp; Change Management</t>
  </si>
  <si>
    <t>Regulation &amp; Code Changes</t>
  </si>
  <si>
    <t>Fixed</t>
  </si>
  <si>
    <t>Table 5.4 AER Final Determination - Derivation of capitalised overheads ($'000s real $2015)</t>
  </si>
  <si>
    <t>Fixed/variable split</t>
  </si>
  <si>
    <t>Variable</t>
  </si>
  <si>
    <t>Fixed/variable component</t>
  </si>
  <si>
    <t>AusNet Revised Proposal Fixed</t>
  </si>
  <si>
    <t>AusNet Revised Proposal Variable</t>
  </si>
  <si>
    <t>AER Final Determination direct cost reduction</t>
  </si>
  <si>
    <t>AER Final Determination variable component</t>
  </si>
  <si>
    <t>Augmentation</t>
  </si>
  <si>
    <t>Connections</t>
  </si>
  <si>
    <t>Replacement</t>
  </si>
  <si>
    <t>Zone substation</t>
  </si>
  <si>
    <t>Compatible Equipment</t>
  </si>
  <si>
    <t xml:space="preserve">Distribution Code </t>
  </si>
  <si>
    <t>Opening RAB</t>
  </si>
  <si>
    <t>Net Capex</t>
  </si>
  <si>
    <t>Straight-line Depreciation</t>
  </si>
  <si>
    <t>Inflation on Opening RAB</t>
  </si>
  <si>
    <t>Closing RAB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</si>
  <si>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</si>
  <si>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</si>
  <si>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</si>
  <si>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</si>
  <si>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</si>
  <si>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</si>
  <si>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$Nom</t>
  </si>
  <si>
    <t>Smoothed revenue</t>
  </si>
  <si>
    <t>Smoothed revenue - incremental</t>
  </si>
  <si>
    <t>Labour / Non Labour splits</t>
  </si>
  <si>
    <t>Labour</t>
  </si>
  <si>
    <t>Non Labour</t>
  </si>
  <si>
    <t>Tax Payable</t>
  </si>
  <si>
    <t>Less Value of Imputation Credits</t>
  </si>
  <si>
    <t>Amended Tax Allowance</t>
  </si>
  <si>
    <t>REFCL tax allowance</t>
  </si>
  <si>
    <t>Direct before labour escalation, $2016</t>
  </si>
  <si>
    <t>Capitalised Overheads Calculation</t>
  </si>
  <si>
    <t>PTRM Inputs</t>
  </si>
  <si>
    <t>Check</t>
  </si>
  <si>
    <t>(source: AER Final Decision Capex Model - Confidential)</t>
  </si>
  <si>
    <t>Contingent Project - including labour escalation</t>
  </si>
  <si>
    <t>Contingent Project - including labour escalation, excluding debt raising costs</t>
  </si>
  <si>
    <t>Thousands</t>
  </si>
  <si>
    <t>Other</t>
  </si>
  <si>
    <t>2. Inputs</t>
  </si>
  <si>
    <t>Direct Capital Cost Composition</t>
  </si>
  <si>
    <t>Capex Summary by Zone Substation</t>
  </si>
  <si>
    <t>Total Direct P50, before escalation adjustments</t>
  </si>
  <si>
    <t>Table 2.1 - AusNet Services - AER Final Determination - Standard Control Capex ($'000s real $2015)</t>
  </si>
  <si>
    <t>Non-Network</t>
  </si>
  <si>
    <t>Capitalised overheads</t>
  </si>
  <si>
    <t>Escalation adjustment</t>
  </si>
  <si>
    <t>TOTAL GROSS CAPEX (includes capcons)</t>
  </si>
  <si>
    <t>capcons</t>
  </si>
  <si>
    <t>NET CAPEX (excludes capcons)</t>
  </si>
  <si>
    <t>Capex by Purpose - EDPR Final decision &amp; Contingent Project</t>
  </si>
  <si>
    <t>Capex By Purpose</t>
  </si>
  <si>
    <t>Capex Summary By Zone Substation</t>
  </si>
  <si>
    <t>(Escalation adjustments applied to catgories)</t>
  </si>
  <si>
    <t>Fixed Overheads</t>
  </si>
  <si>
    <t>Variable Overheads</t>
  </si>
  <si>
    <t>Total Approved Capitalised Overhead (before escalation adj's)</t>
  </si>
  <si>
    <t>(Decision Escalation adjustments applied to categories)</t>
  </si>
  <si>
    <t>Operating &amp; Maintenance Costs</t>
  </si>
  <si>
    <t>Total Approved Capitalised Overhead (incl. escalation adj's)</t>
  </si>
  <si>
    <t>Opex Inputs</t>
  </si>
  <si>
    <t>Escalators</t>
  </si>
  <si>
    <t>Expenditure Class</t>
  </si>
  <si>
    <t>Real escalation value (%)</t>
  </si>
  <si>
    <t>Cost Drivers</t>
  </si>
  <si>
    <t>Labour escalators</t>
  </si>
  <si>
    <t>Electricity Gas Water and Waste Services Wage Price Index (Internal labour)</t>
  </si>
  <si>
    <t>Construction Wage Price Index (External labour)</t>
  </si>
  <si>
    <t>Forecast Wage Price Growth</t>
  </si>
  <si>
    <t>Actual Wage Price Growth</t>
  </si>
  <si>
    <t>EGWWS WPI (Vic) real rate of change</t>
  </si>
  <si>
    <t>(source: AER information request #049 - AusNet Services - Real escalation input cost indices, 8th March 2016)</t>
  </si>
  <si>
    <t>Construction WPI (Aus) real rate of change</t>
  </si>
  <si>
    <t>CPI</t>
  </si>
  <si>
    <t>Labour index for Capital costs</t>
  </si>
  <si>
    <t>Labour index for Operating &amp; Maintenance costs</t>
  </si>
  <si>
    <t>(source: ABS WPI industry data adjusted for actual inflation)</t>
  </si>
  <si>
    <t>Costs Summary by Category</t>
  </si>
  <si>
    <t>Summary by Category</t>
  </si>
  <si>
    <t>Subtotal</t>
  </si>
  <si>
    <t>Grand Total</t>
  </si>
  <si>
    <t>WPI - EGWWS (Vic)</t>
  </si>
  <si>
    <t>(source: EDPR Final Decision Opex model - rate of change)</t>
  </si>
  <si>
    <t>Live line equipment purchases</t>
  </si>
  <si>
    <t>Total Gross Direct</t>
  </si>
  <si>
    <t>Alternative technologies and vendors</t>
  </si>
  <si>
    <t>Fault response &amp; analysis</t>
  </si>
  <si>
    <t>Operating, maintenance and testing instructions</t>
  </si>
  <si>
    <t>Routine maintenance of zone substation assets</t>
  </si>
  <si>
    <t>3. Aggregations &amp; Allocations</t>
  </si>
  <si>
    <t>Net increase in Network Capex incl. escalation adj's - All Groups</t>
  </si>
  <si>
    <t>Chk</t>
  </si>
  <si>
    <t>(before labour escalation adjustments)</t>
  </si>
  <si>
    <t>HV Customer Isolations</t>
  </si>
  <si>
    <t>Voltage Regulators</t>
  </si>
  <si>
    <t>ACR replacements</t>
  </si>
  <si>
    <t>Surge Arrestor Replacements</t>
  </si>
  <si>
    <t>Work at Zone Substations</t>
  </si>
  <si>
    <t>DFA schemes (stage 2)</t>
  </si>
  <si>
    <t>Other Program costs</t>
  </si>
  <si>
    <t>Program management office</t>
  </si>
  <si>
    <t>Other program costs</t>
  </si>
  <si>
    <t>Total exc Dist Code &amp; Other</t>
  </si>
  <si>
    <t>Program management office costs</t>
  </si>
  <si>
    <t>Amended Network Capex - Direct ($'000s real $2015)</t>
  </si>
  <si>
    <t>Total Forecast Direct - Incremental</t>
  </si>
  <si>
    <t>Total Forecast Overheads - Incremental</t>
  </si>
  <si>
    <t>Total Forecast Capex - Incremental</t>
  </si>
  <si>
    <t>Total Forecast Amended Capex</t>
  </si>
  <si>
    <t>Total Approved Capex</t>
  </si>
  <si>
    <t>Total Opex - $Nominal</t>
  </si>
  <si>
    <t>Direct Summary by Category - incl. Labour escalation</t>
  </si>
  <si>
    <t>Materials</t>
  </si>
  <si>
    <t>Contracts - Design</t>
  </si>
  <si>
    <t>Contracts - Construct</t>
  </si>
  <si>
    <t>Total Direct P50</t>
  </si>
  <si>
    <t>Sites</t>
  </si>
  <si>
    <t>Average units per site</t>
  </si>
  <si>
    <t>Other Program costs*</t>
  </si>
  <si>
    <t>Non-Network Other</t>
  </si>
  <si>
    <t>Non-Network IT</t>
  </si>
  <si>
    <t>source: Program capex costs estimate - AusNet Services</t>
  </si>
  <si>
    <t>Total Variable Component</t>
  </si>
  <si>
    <t>Capitalised Overheads : $ End 2015</t>
  </si>
  <si>
    <t>Network OH's</t>
  </si>
  <si>
    <t>IT OH's</t>
  </si>
  <si>
    <t>Net Increase in Variable Network OH's ($'000s real $2015)</t>
  </si>
  <si>
    <t>Variable Network OH's</t>
  </si>
  <si>
    <t>Variable IT OH's</t>
  </si>
  <si>
    <t xml:space="preserve">Total Overheads, incl. escalation adjustments </t>
  </si>
  <si>
    <t>Incremental Network Overheads by Asset Class  ($'000s real $2015)</t>
  </si>
  <si>
    <t>Total Incremental Network Capex</t>
  </si>
  <si>
    <t>Total Proposed Amended Overheads - EDPR Approved OH's &amp; Contingent Project OH's incl. escalation adj's ($'000s real $2015)</t>
  </si>
  <si>
    <t>DM16</t>
  </si>
  <si>
    <t>DM17</t>
  </si>
  <si>
    <t>DM18</t>
  </si>
  <si>
    <t>DM19</t>
  </si>
  <si>
    <t>DM20</t>
  </si>
  <si>
    <t>DL16</t>
  </si>
  <si>
    <t>DL17</t>
  </si>
  <si>
    <t>DL18</t>
  </si>
  <si>
    <t>DL19</t>
  </si>
  <si>
    <t>DL20</t>
  </si>
  <si>
    <t>DC16</t>
  </si>
  <si>
    <t>DC17</t>
  </si>
  <si>
    <t>DC18</t>
  </si>
  <si>
    <t>DC19</t>
  </si>
  <si>
    <t>DC20</t>
  </si>
  <si>
    <t>DO16</t>
  </si>
  <si>
    <t>DO17</t>
  </si>
  <si>
    <t>DO18</t>
  </si>
  <si>
    <t>DO19</t>
  </si>
  <si>
    <t>DO20</t>
  </si>
  <si>
    <t>Distribution system assetsAugmentation</t>
  </si>
  <si>
    <t>Distribution system assetsReplacement</t>
  </si>
  <si>
    <t>SubtransmissionAugmentation</t>
  </si>
  <si>
    <t>SCADA/Network controlReplacement</t>
  </si>
  <si>
    <t>SCADA/Network controlAugmentation</t>
  </si>
  <si>
    <t>SubtransmissionReplacement</t>
  </si>
  <si>
    <t>IT</t>
  </si>
  <si>
    <t>Total Approved Network Overheads</t>
  </si>
  <si>
    <t>Network Overheads by Asset Class</t>
  </si>
  <si>
    <t>Network overheads by Asset Class ($2015)</t>
  </si>
  <si>
    <t>AER Final Determination variable component ($2015)</t>
  </si>
  <si>
    <t xml:space="preserve">Total Direct P50 </t>
  </si>
  <si>
    <t>Average</t>
  </si>
  <si>
    <t>Total Overheads (before escalation adj's)</t>
  </si>
  <si>
    <t>AER Final Decision Network Capex including escalation adj's ($'000s real $2015)</t>
  </si>
  <si>
    <t>Contingent Project - Incremental Network Capex by Asset Class, including escalation adj's ($'000s real $2015)</t>
  </si>
  <si>
    <t>Total Network Overheads, including escalation adj's</t>
  </si>
  <si>
    <t>RAB Class/Expenditure Type</t>
  </si>
  <si>
    <t>Zone Substations</t>
  </si>
  <si>
    <t>Land</t>
  </si>
  <si>
    <t>OtherNon-Network</t>
  </si>
  <si>
    <t>ITNon-Network</t>
  </si>
  <si>
    <t>LandNon-Network</t>
  </si>
  <si>
    <t>(Excluding Other program costs and excludes labour escalation adjustments)</t>
  </si>
  <si>
    <t>Direct Summary by RAB Class and Expenditure Category</t>
  </si>
  <si>
    <t>Incremental Capitalised Overheads</t>
  </si>
  <si>
    <t>Other Summary Tables</t>
  </si>
  <si>
    <t>Incremental Capitalised Overhead</t>
  </si>
  <si>
    <t>Escalation adjustments</t>
  </si>
  <si>
    <t>Total Capital Expenditure</t>
  </si>
  <si>
    <t>Total Direct Cost (before escalation adjustments)</t>
  </si>
  <si>
    <t>Internal Labour rates</t>
  </si>
  <si>
    <t xml:space="preserve">Installation of neutral bus </t>
  </si>
  <si>
    <t xml:space="preserve">Neutral Bus </t>
  </si>
  <si>
    <t xml:space="preserve">Installation of neutral bus controller </t>
  </si>
  <si>
    <t xml:space="preserve">Interface, control panel and inverter </t>
  </si>
  <si>
    <t xml:space="preserve">REFCL control room </t>
  </si>
  <si>
    <t>Installation of the REFCL control room only - no protection panels</t>
  </si>
  <si>
    <t>Unit</t>
  </si>
  <si>
    <t>Category</t>
  </si>
  <si>
    <t>Description</t>
  </si>
  <si>
    <t>Compatible Equipment Unit Rates</t>
  </si>
  <si>
    <t>Zone Substation works Unit Rates</t>
  </si>
  <si>
    <t>Rate ($k)</t>
  </si>
  <si>
    <t>Forecast Operating &amp; Maintenance ($000's, Nominal), using Decision inflation</t>
  </si>
  <si>
    <t xml:space="preserve">ACR upgrade </t>
  </si>
  <si>
    <t xml:space="preserve">Replace control box on ACR </t>
  </si>
  <si>
    <t xml:space="preserve">ACR replacement </t>
  </si>
  <si>
    <t xml:space="preserve">Replace pole-mounted ACR </t>
  </si>
  <si>
    <t xml:space="preserve">Voltage regulator upgrade </t>
  </si>
  <si>
    <t xml:space="preserve">Replace control box on voltage regulator </t>
  </si>
  <si>
    <t xml:space="preserve">Voltage regulator replacement </t>
  </si>
  <si>
    <t xml:space="preserve">Replace voltage regulator </t>
  </si>
  <si>
    <t xml:space="preserve">Design </t>
  </si>
  <si>
    <t>Design activities to determine network balancing requirements, validate balancing and record balancing information – per feeder</t>
  </si>
  <si>
    <t xml:space="preserve">Third conductor installation </t>
  </si>
  <si>
    <t xml:space="preserve">Install 3rd conductor – per span </t>
  </si>
  <si>
    <t>Balancing capacitors</t>
  </si>
  <si>
    <t xml:space="preserve">Inherent works </t>
  </si>
  <si>
    <t xml:space="preserve">Unbonding cable </t>
  </si>
  <si>
    <t xml:space="preserve">Unbounding cable at either end – per location </t>
  </si>
  <si>
    <t xml:space="preserve">Phase rotation </t>
  </si>
  <si>
    <t xml:space="preserve">Rotate phases – per rotation </t>
  </si>
  <si>
    <t>Install balancing capacitors (single or three phase) – per installation</t>
  </si>
  <si>
    <t>Network Balancing Unit Rates</t>
  </si>
  <si>
    <t>- per unit</t>
  </si>
  <si>
    <t xml:space="preserve">Surge arrestor </t>
  </si>
  <si>
    <t>Line Hardening Unit Rates</t>
  </si>
  <si>
    <t>Code Compliance Unit Rates</t>
  </si>
  <si>
    <t>Code compliance</t>
  </si>
  <si>
    <t>Reliability maintained Unit Rates</t>
  </si>
  <si>
    <t xml:space="preserve">Remote control switch </t>
  </si>
  <si>
    <t>Classification</t>
  </si>
  <si>
    <t>Capex</t>
  </si>
  <si>
    <t>Mid-span Isolator units</t>
  </si>
  <si>
    <t>Rigid Hoppers</t>
  </si>
  <si>
    <t>Line cut-out tools</t>
  </si>
  <si>
    <t xml:space="preserve">New Line Hoses </t>
  </si>
  <si>
    <t>Opex</t>
  </si>
  <si>
    <t>Regulation &amp; Network Strategy team</t>
  </si>
  <si>
    <t>Project Manager</t>
  </si>
  <si>
    <t>Legal team</t>
  </si>
  <si>
    <t>Live Line Equipment Purchases Unit Rates</t>
  </si>
  <si>
    <t>Operational Staff Labour Rate (Tester/Controller/Operator/Applicant, etc)</t>
  </si>
  <si>
    <t>Engineering &amp; Professional Services Labour Rate</t>
  </si>
  <si>
    <t>Zone Substation works</t>
  </si>
  <si>
    <t>Feeder works</t>
  </si>
  <si>
    <t>Primary Plant</t>
  </si>
  <si>
    <t>Surge arrestor replacement</t>
  </si>
  <si>
    <t>QTY</t>
  </si>
  <si>
    <t>Arc Suppression Coil</t>
  </si>
  <si>
    <t>Civil works (Earthworks, 22kV swichyard)</t>
  </si>
  <si>
    <t>Land purchase</t>
  </si>
  <si>
    <t>Project Management &amp; Engineering</t>
  </si>
  <si>
    <t>Project Establishment</t>
  </si>
  <si>
    <t>Project Management</t>
  </si>
  <si>
    <t>Community Engagement</t>
  </si>
  <si>
    <t>New Control Building</t>
  </si>
  <si>
    <t>ASC to Neutral Bus 22kV 95mm2 XLPE single phase (15m)</t>
  </si>
  <si>
    <t>Tx to Switchboard 22kV 630mm2 XLPE single phase  (35mx6)</t>
  </si>
  <si>
    <t>S/S to Switchboard 22kV 185mm2 XLPE single phase (30mx3)</t>
  </si>
  <si>
    <t>Installation of 22 kV switchboard  - Metro</t>
  </si>
  <si>
    <t>Installation of 22 kV switchboard  - Rural</t>
  </si>
  <si>
    <t>22kV switchboard  - Rural</t>
  </si>
  <si>
    <t>22kV switchboard  - Metro</t>
  </si>
  <si>
    <t>Other AC &amp; DC supplies</t>
  </si>
  <si>
    <t>Subtotal Substation works</t>
  </si>
  <si>
    <t>Subtotal feeder works</t>
  </si>
  <si>
    <t>Construction delivery &amp; site control</t>
  </si>
  <si>
    <t>Project Engineer</t>
  </si>
  <si>
    <t>Front Line Leader</t>
  </si>
  <si>
    <t>Project Engineer Build</t>
  </si>
  <si>
    <t>Site Manager Build</t>
  </si>
  <si>
    <t>Asset Management Engineer</t>
  </si>
  <si>
    <t>Int Labour</t>
  </si>
  <si>
    <t>P50 Total</t>
  </si>
  <si>
    <t>ea</t>
  </si>
  <si>
    <t>UOM</t>
  </si>
  <si>
    <t>location</t>
  </si>
  <si>
    <t>Line Hardening</t>
  </si>
  <si>
    <t>Distribution Code</t>
  </si>
  <si>
    <t>feeders</t>
  </si>
  <si>
    <t>spans</t>
  </si>
  <si>
    <t>rotations</t>
  </si>
  <si>
    <t>installations</t>
  </si>
  <si>
    <t>Subtotal Network Balancing</t>
  </si>
  <si>
    <t>Material $/Unit</t>
  </si>
  <si>
    <t>Primary Cables - 22kV</t>
  </si>
  <si>
    <t>Project Close-out, Testing &amp; Commissioning</t>
  </si>
  <si>
    <t>$/hr</t>
  </si>
  <si>
    <t>Station service transformer (500 kVA)</t>
  </si>
  <si>
    <t>SCADA / Protection &amp; Control/ Comms</t>
  </si>
  <si>
    <t>ASC footing</t>
  </si>
  <si>
    <t>Installation of ASC</t>
  </si>
  <si>
    <t>Install new footing and associated bunding for GFN ASC unit</t>
  </si>
  <si>
    <t>Earthworks</t>
  </si>
  <si>
    <t>Civil works</t>
  </si>
  <si>
    <t>Notes</t>
  </si>
  <si>
    <t>Labour rates</t>
  </si>
  <si>
    <t>Design - Internal/External</t>
  </si>
  <si>
    <t>22kV switchyard - install new puraceptor</t>
  </si>
  <si>
    <t>- Other</t>
  </si>
  <si>
    <t>p/mtr</t>
  </si>
  <si>
    <t>Protection – GFN panels</t>
  </si>
  <si>
    <t>Protection &amp; Control</t>
  </si>
  <si>
    <t>GFN interface relay</t>
  </si>
  <si>
    <t>Other protection works</t>
  </si>
  <si>
    <t>Install new RTU (existing MD1000 incapable of handling traffic of new relays)</t>
  </si>
  <si>
    <t>22kV Protection &amp; Control Modifications</t>
  </si>
  <si>
    <t>Earthworks, Buildings</t>
  </si>
  <si>
    <t>Replace or install new station service transformer (500 kVA)</t>
  </si>
  <si>
    <t>Replace or install new station service transformer (750 kVA)</t>
  </si>
  <si>
    <t>Design Labour - internal / external</t>
  </si>
  <si>
    <t>Station service transformer (750 kVA)</t>
  </si>
  <si>
    <t>SCIMS system - small</t>
  </si>
  <si>
    <t>22KV Feeder Exit</t>
  </si>
  <si>
    <t>22kV U/S Isolator</t>
  </si>
  <si>
    <t>22kV Voltage Transformer</t>
  </si>
  <si>
    <t>22KV Surge Arrestor</t>
  </si>
  <si>
    <t>Remote Terminal Unit</t>
  </si>
  <si>
    <t>22kV Dead Tank Circuit Breaker 3150A, 40kA</t>
  </si>
  <si>
    <t>Transformer Neutral Isolator</t>
  </si>
  <si>
    <t>Phase plate correction</t>
  </si>
  <si>
    <t>fuses</t>
  </si>
  <si>
    <t>Inherent works  - various feeder based works</t>
  </si>
  <si>
    <t>Operational Staff</t>
  </si>
  <si>
    <t>feeders &amp; RC sections</t>
  </si>
  <si>
    <t>Phase identification tools &amp; training</t>
  </si>
  <si>
    <t>22kV Capacitor Banks</t>
  </si>
  <si>
    <t>22kV Dead Tank Circuit Breaker</t>
  </si>
  <si>
    <t>Tool &amp; Equipment purchases</t>
  </si>
  <si>
    <t>Total Internal Labour (hours)</t>
  </si>
  <si>
    <t>Other stations rate</t>
  </si>
  <si>
    <t>Purchase of phase identification tools - G3 Phase ID probe</t>
  </si>
  <si>
    <t>Activities including the development of balancing capacitor solution, modification of Asset Management Systems - per feeder</t>
  </si>
  <si>
    <t>Phase plate correction - per feeder and RC sections</t>
  </si>
  <si>
    <t>Installation of Oil separator / Puraceptor</t>
  </si>
  <si>
    <t>Labour rates effective from 22-01-2014 (source: Expert Estimator tool)</t>
  </si>
  <si>
    <t>Installation of modular battery room including batteries (1 set of)</t>
  </si>
  <si>
    <t>22kV Underslung Isolator</t>
  </si>
  <si>
    <t>WYK2 rate</t>
  </si>
  <si>
    <t>Asset Class</t>
  </si>
  <si>
    <t>Battery Room (2 battery sets)</t>
  </si>
  <si>
    <t>Battery Room (single battery set)</t>
  </si>
  <si>
    <t>Allocation</t>
  </si>
  <si>
    <t>Replace surge arrestor on existing structure - per site</t>
  </si>
  <si>
    <t>Install a new Substation Automation panel (SCIMS) in existing control room</t>
  </si>
  <si>
    <t>Design, Project Management &amp; Engineering costs allocation</t>
  </si>
  <si>
    <t>Contracts</t>
  </si>
  <si>
    <t>Installation of outdoor changeover board suitable for uprated Station Service Tx, incl. footing</t>
  </si>
  <si>
    <t>AC C/O board footing</t>
  </si>
  <si>
    <t>Cap Bank footing</t>
  </si>
  <si>
    <t>Installation of 22 kV capacitor banks</t>
  </si>
  <si>
    <t>Installation of outdoor changeover board</t>
  </si>
  <si>
    <t xml:space="preserve">Installation of modular battery room including batteries (2 sets of) </t>
  </si>
  <si>
    <t>Total Substation works</t>
  </si>
  <si>
    <t>Replace remote controlled switch on existing structure - Design</t>
  </si>
  <si>
    <t>- DFA2 software changes to SCADA</t>
  </si>
  <si>
    <t>- Materials supply and deployment of switches</t>
  </si>
  <si>
    <t>RAB / Asset Class</t>
  </si>
  <si>
    <t>Non-network</t>
  </si>
  <si>
    <t>Capitalised network overheads</t>
  </si>
  <si>
    <t>Capitalised corporate overheads</t>
  </si>
  <si>
    <t>Cap Cons</t>
  </si>
  <si>
    <t>Benchmark Expenditure Categories</t>
  </si>
  <si>
    <t>Cost Classification</t>
  </si>
  <si>
    <t>- Base station</t>
  </si>
  <si>
    <t>ACR Upgrade</t>
  </si>
  <si>
    <t>ACR Replacement</t>
  </si>
  <si>
    <t>Feeder Work Volumes</t>
  </si>
  <si>
    <t>Voltage Regulator Upgrade</t>
  </si>
  <si>
    <t>Voltage Regulator Replace</t>
  </si>
  <si>
    <t>Feeders</t>
  </si>
  <si>
    <t>Transfer Feeders</t>
  </si>
  <si>
    <t>RC Sections</t>
  </si>
  <si>
    <t>Spans of third phase</t>
  </si>
  <si>
    <t>Unbonding 3rd phase</t>
  </si>
  <si>
    <t>Phase rotations</t>
  </si>
  <si>
    <t>1-phase balancing caps</t>
  </si>
  <si>
    <t>3-phase balancing caps</t>
  </si>
  <si>
    <t>SWER phase rotations</t>
  </si>
  <si>
    <t>Total Feeders</t>
  </si>
  <si>
    <t>Total Phase rotations</t>
  </si>
  <si>
    <t>Total Balancing caps</t>
  </si>
  <si>
    <t>Direct Capital Cost Input Total by Activity</t>
  </si>
  <si>
    <t>Oil separator</t>
  </si>
  <si>
    <t>Materials phasing</t>
  </si>
  <si>
    <t>Internal Labour resource allocation</t>
  </si>
  <si>
    <t>Substation &amp; Feeder Works Detail sheets</t>
  </si>
  <si>
    <t>Unit Rates</t>
  </si>
  <si>
    <t>Labour Rates</t>
  </si>
  <si>
    <t>1. Lookup Tables</t>
  </si>
  <si>
    <t>Reporting Categories</t>
  </si>
  <si>
    <t>4. Outputs</t>
  </si>
  <si>
    <t>Protection reviews for fuse removals and installation of solid link - per fuse</t>
  </si>
  <si>
    <t>Devices used to reduce the outage area in the distribution network.  Set of isolators that are cut into a line between two poles (i.e., mid-span) to provide a temporary break in connection. After an outage devices can be re-used elswhere on the network.</t>
  </si>
  <si>
    <t>Cable with clamp at each end that is placed inside an insulating tube.</t>
  </si>
  <si>
    <t>Set of tools used to cut into a line, e.g., for temporary installation of mid-span isolators</t>
  </si>
  <si>
    <t>New Line Hoses (to replace Hard Covers) on 22kV lines</t>
  </si>
  <si>
    <t>Network Reliability Maintained</t>
  </si>
  <si>
    <t>Confidential</t>
  </si>
  <si>
    <t>inputs</t>
  </si>
  <si>
    <t>[spare]</t>
  </si>
  <si>
    <t>Sum</t>
  </si>
  <si>
    <t>Station / REFCL no</t>
  </si>
  <si>
    <t>Zone substation works expenditure profiles (excludes feeder works)</t>
  </si>
  <si>
    <t>DFA schemes (stage 2) - software changes to SCADA</t>
  </si>
  <si>
    <t>Short Nm</t>
  </si>
  <si>
    <t>Other Costs</t>
  </si>
  <si>
    <t>Remote controlled switch replacement</t>
  </si>
  <si>
    <t>Base station</t>
  </si>
  <si>
    <t>Live line equipment purchases (capitalised)</t>
  </si>
  <si>
    <t>units</t>
  </si>
  <si>
    <t>G3 Phase ID probe</t>
  </si>
  <si>
    <t>External labour - Consultant</t>
  </si>
  <si>
    <t>Internal labour - various resources</t>
  </si>
  <si>
    <t>Training costs</t>
  </si>
  <si>
    <t>Phase ID tools &amp; training</t>
  </si>
  <si>
    <t>Other Capex Program Inputs</t>
  </si>
  <si>
    <t>Other Capex Program Volumes</t>
  </si>
  <si>
    <t>Amended Final Decision Capex - Total ($m, $2015)</t>
  </si>
  <si>
    <t>EDPR Final Decision</t>
  </si>
  <si>
    <t>Gross Capex Inputs - $m, $2015</t>
  </si>
  <si>
    <t>Amended Final Decision incl T1 Allowance</t>
  </si>
  <si>
    <t>source: AER Final Decision PTRM inputs, excl. equity raising costs</t>
  </si>
  <si>
    <t>Total EDPR Opex (excl Debt raising costs)</t>
  </si>
  <si>
    <t>REFCL T1 Approved Opex costs</t>
  </si>
  <si>
    <t>Opex Costs - $m, $2015</t>
  </si>
  <si>
    <t>5. Other References</t>
  </si>
  <si>
    <t>Tranche 1 (T1) Allowances</t>
  </si>
  <si>
    <t>Distribution Code - HV Customers</t>
  </si>
  <si>
    <t>5 MVA</t>
  </si>
  <si>
    <t>7.5 MVA</t>
  </si>
  <si>
    <t>10 MVA</t>
  </si>
  <si>
    <t>HV customers isolation substation (7.5 MVA)</t>
  </si>
  <si>
    <t>HV customers isolation substation (5.0 MVA)</t>
  </si>
  <si>
    <t>source: AER Amended Final Decision (Contingent Project) PTRM inputs</t>
  </si>
  <si>
    <t xml:space="preserve"> # note, required splits are sourced from project IDC sheets</t>
  </si>
  <si>
    <t>Finish Date</t>
  </si>
  <si>
    <t>Total Hours</t>
  </si>
  <si>
    <t>Total hrs p/unit</t>
  </si>
  <si>
    <t>5 MVA substation</t>
  </si>
  <si>
    <t>7.5 MVA substation</t>
  </si>
  <si>
    <t>Cable replacements</t>
  </si>
  <si>
    <t>Line Hardening: -</t>
  </si>
  <si>
    <t>22kV Zero Sequence CTs</t>
  </si>
  <si>
    <t>Install core balance zero sequence current transformers</t>
  </si>
  <si>
    <t>Primary Cable Testing</t>
  </si>
  <si>
    <t>Testing of station 22 kV Cables</t>
  </si>
  <si>
    <t>2 REFCL control room</t>
  </si>
  <si>
    <t>Installation of the REFCL control room only - no protection panels - supports 2 GFNs</t>
  </si>
  <si>
    <t>Neutral Bus controller - 1 GFN</t>
  </si>
  <si>
    <t>Neutral Bus controller - 2 GFNs</t>
  </si>
  <si>
    <t xml:space="preserve">Installation of modular control building room </t>
  </si>
  <si>
    <t>AC changeover board - Station</t>
  </si>
  <si>
    <t>AC changeover board - REFCL</t>
  </si>
  <si>
    <t>22kV Current Transformer</t>
  </si>
  <si>
    <t>On-line Tests</t>
  </si>
  <si>
    <t>Off-line Tests</t>
  </si>
  <si>
    <t>Repairs</t>
  </si>
  <si>
    <t>Replacement (m)</t>
  </si>
  <si>
    <t>Cables</t>
  </si>
  <si>
    <t>m</t>
  </si>
  <si>
    <t>Cable On-Line Testing</t>
  </si>
  <si>
    <t>Cable Off-Line Testing</t>
  </si>
  <si>
    <t>Cable - Replace Fitting</t>
  </si>
  <si>
    <t>Installation of 2x3 MVAr Capacitor Bank</t>
  </si>
  <si>
    <t>Installation of 3x3 MVAr Capacitor Bank</t>
  </si>
  <si>
    <t>Modify existing capacitor bank</t>
  </si>
  <si>
    <t>22kV Capacitor Bank - Modify</t>
  </si>
  <si>
    <t>22kV Capacitor Bank (2x3 MVAr)</t>
  </si>
  <si>
    <t>22kV Capacitor Bank (3x3 MVAr)</t>
  </si>
  <si>
    <t>Power Quality/Switchgear Interface</t>
  </si>
  <si>
    <t>Power Quality Non Std</t>
  </si>
  <si>
    <t>Installation of Panel with 6 Power Quality Meters</t>
  </si>
  <si>
    <t>Switchgear Interface Non Std</t>
  </si>
  <si>
    <t>Installation of Panel with 3 switchgear interface relays</t>
  </si>
  <si>
    <t>Installation of Panel with 2 Power Quality Meters &amp; 1 Switchgear interface relay</t>
  </si>
  <si>
    <t>Capacitor Bank Prot &amp; Cntl (3x3MVAr)</t>
  </si>
  <si>
    <t>Installation of Panel for Prot &amp; Cntl of 3 x 3MVAr Capacitor Bank</t>
  </si>
  <si>
    <t>Capacitor Bank Prot &amp; Cntl (2x3MVAr)</t>
  </si>
  <si>
    <t>Installation of Panel for Prot &amp; Cntl of 2 x 3MVAr Capacitor Bank</t>
  </si>
  <si>
    <t>WOTS - (Transmission Charges)</t>
  </si>
  <si>
    <t>Proactive</t>
  </si>
  <si>
    <t>Offline Test</t>
  </si>
  <si>
    <t>Replacements</t>
  </si>
  <si>
    <t>Network Hardening - Cables (Reactive Program)</t>
  </si>
  <si>
    <t>Qty</t>
  </si>
  <si>
    <t>Cables - Reactive - Testing</t>
  </si>
  <si>
    <t>Cables - Reactive - Repairs</t>
  </si>
  <si>
    <t>Cables - Reactive - Replacements</t>
  </si>
  <si>
    <t>Cable - Replace Cable Section - per m</t>
  </si>
  <si>
    <t>Cables - Reactive</t>
  </si>
  <si>
    <t>2016-20</t>
  </si>
  <si>
    <t>2021-23</t>
  </si>
  <si>
    <t>3 MVA</t>
  </si>
  <si>
    <t>Install isolating transformer and associated equipment adjacent to high-voltage customer – per site, 3.0 MVA substation</t>
  </si>
  <si>
    <t>Line Balancing</t>
  </si>
  <si>
    <t>Annual Fault Throw Test Locations</t>
  </si>
  <si>
    <t>Annual Compliance Test Sites</t>
  </si>
  <si>
    <t>DFA scheme - removal of transfer schemes</t>
  </si>
  <si>
    <t>DFA Quality Assurance</t>
  </si>
  <si>
    <t>Survey Costs</t>
  </si>
  <si>
    <t>HV customers isolation substation (3.0 MVA)</t>
  </si>
  <si>
    <t>DFA Quality Assurance - Deakin Uni Study</t>
  </si>
  <si>
    <t>Total EDPR Approved Network Direct Capex</t>
  </si>
  <si>
    <t>Network Capex by Asset Class excluding Capitalised Overheads</t>
  </si>
  <si>
    <t>Capex excluding Capitalised Overhead</t>
  </si>
  <si>
    <t>Capex including Capitalised Overhead</t>
  </si>
  <si>
    <t>Total Capex incl Capitalised Overhead</t>
  </si>
  <si>
    <t>Total Capex excl Capitalised Overhead</t>
  </si>
  <si>
    <t>Total Approved Variable Network Overheads, before esc. adj's</t>
  </si>
  <si>
    <t>Total Approved Network Capex excl. Overheads, including esc. adj's</t>
  </si>
  <si>
    <t>Capitalised Overhead by Asset Class</t>
  </si>
  <si>
    <t>Total Capitalised Overhead</t>
  </si>
  <si>
    <t>T1 Approved Total Capex - $m, $2015</t>
  </si>
  <si>
    <t>T1 Approved Direct Capex Only - $m, $2015</t>
  </si>
  <si>
    <t>T1 Approved Capitalised Overheads - $m, $2015</t>
  </si>
  <si>
    <t>Network Overheads ($2015)</t>
  </si>
  <si>
    <t>IT Overheads ($2015)</t>
  </si>
  <si>
    <t>2016-23</t>
  </si>
  <si>
    <t>$000's, $2015</t>
  </si>
  <si>
    <t>source: AST Distribution Contingent Project 1 Total Cost Model_Amended 06.06.17_CONFIDENTIAL.xlsx</t>
  </si>
  <si>
    <t>Test location per feeder (@$15k per site) - material</t>
  </si>
  <si>
    <t>Contract labour</t>
  </si>
  <si>
    <t>Internal labour</t>
  </si>
  <si>
    <t>2016-20 EDPR Final Decision Escalation adjustment</t>
  </si>
  <si>
    <t>source: AER - AusNet Services distribution determination - REFCL contingent project - PTRM - PUBLIC - September 2017.xlsm</t>
  </si>
  <si>
    <t>source: Derived from Capex Inputs per AER amended - AST DX 2016-20 PTRM (Contingent Project 1) CONFIDENTIAL.xlsm</t>
  </si>
  <si>
    <t>AusNet CPA T1 Proposal - Capex by Purpose</t>
  </si>
  <si>
    <t>AER Decision cuts to AusNet CPA T1 Proposal - Capex by Purpose</t>
  </si>
  <si>
    <t>Current Period</t>
  </si>
  <si>
    <t>Next Reg Period</t>
  </si>
  <si>
    <t>Capex #</t>
  </si>
  <si>
    <t># Capex excludes half year WACC allowance</t>
  </si>
  <si>
    <t>2016-20 period</t>
  </si>
  <si>
    <t>2021-25 period</t>
  </si>
  <si>
    <t>Mat</t>
  </si>
  <si>
    <t>Lab</t>
  </si>
  <si>
    <t>Oth</t>
  </si>
  <si>
    <t>2016-20 period Allocations</t>
  </si>
  <si>
    <t>2021-23 period Allocations</t>
  </si>
  <si>
    <t>$k, $2015</t>
  </si>
  <si>
    <t>Des</t>
  </si>
  <si>
    <t>Contr</t>
  </si>
  <si>
    <t>Index - $2015 to nominal (using Decision inflation)</t>
  </si>
  <si>
    <t>Index - $2016 to nominal (using Decision inflation)</t>
  </si>
  <si>
    <t>Index - $2014 to Nominal (using outturn inflation)</t>
  </si>
  <si>
    <t>Direct Cost Unit Rates - $000's, Real $2015</t>
  </si>
  <si>
    <t>Index - $2015 to nominal (using outturn inflation)</t>
  </si>
  <si>
    <t>Direct Capex Inputs, before escalation adjustments - $000's, Real $2015</t>
  </si>
  <si>
    <t>Direct Capex Input Composition, before escalation adjustments - $000's, Real $2015</t>
  </si>
  <si>
    <t>Direct P50 - before escalation adjustments - $'000s, real $2015</t>
  </si>
  <si>
    <t>Labour Escalation - $'000s, real $2015</t>
  </si>
  <si>
    <t>Contingent Project Total Direct Cost incl. labour escalation - $'000s, real $2015</t>
  </si>
  <si>
    <t>Internal labour index (applied to labour costs in $2015)</t>
  </si>
  <si>
    <t>External labour index (applied to labour costs in $2015)</t>
  </si>
  <si>
    <t>Forecast Operating &amp; Maintenance ($000's, Real 2015)</t>
  </si>
  <si>
    <t>Table 1a - Proposed Capex - Direct before escalation adjustments, $000's, $2015</t>
  </si>
  <si>
    <t>Total Capital Expenditure Forecast, $m, $2015</t>
  </si>
  <si>
    <t>Expenditure by Zone Substation, $000's, Real $2015</t>
  </si>
  <si>
    <t>Works at Zone Substations - $2015</t>
  </si>
  <si>
    <t>Network Balancing - $2015</t>
  </si>
  <si>
    <t>Surge Arrestor Replacements - $2015</t>
  </si>
  <si>
    <t>Cable replacements - $2015</t>
  </si>
  <si>
    <t>ACR replacements - $2015</t>
  </si>
  <si>
    <t>ACR Upgrades - $2015</t>
  </si>
  <si>
    <t>Voltage Regulators - $2015</t>
  </si>
  <si>
    <t>HV Customer Isolations - $2015</t>
  </si>
  <si>
    <t>Other Program costs - $2015</t>
  </si>
  <si>
    <t>TOTAL COST Inputs, $2015</t>
  </si>
  <si>
    <t>Other Capitalised Program Costs, $2015</t>
  </si>
  <si>
    <t>Total Direct ($k, $2015)</t>
  </si>
  <si>
    <t>$/Unit ($2015)</t>
  </si>
  <si>
    <t>Average Direct Cost per Zone Substation, excluding Other Program costs, $k, $2015</t>
  </si>
  <si>
    <t>Labour index (applied to labour costs in $2015)</t>
  </si>
  <si>
    <t>Capacitance Management</t>
  </si>
  <si>
    <t>CERA Removal and Replacement with 900kVAr Pole Top Capacitor</t>
  </si>
  <si>
    <t>Volumes by Station</t>
  </si>
  <si>
    <t>Actual Inflation - 8 cities, 1 year lagged (Jun to Jun)</t>
  </si>
  <si>
    <t>Sep Qtr</t>
  </si>
  <si>
    <t>Jun Qtr</t>
  </si>
  <si>
    <t>Conversion factor - Mid Year $Nominal to End $2015</t>
  </si>
  <si>
    <t>(8 cities, 1 year lagged)</t>
  </si>
  <si>
    <t>BN</t>
  </si>
  <si>
    <t>KLO</t>
  </si>
  <si>
    <t>LLG</t>
  </si>
  <si>
    <t>MSD</t>
  </si>
  <si>
    <t>SLE</t>
  </si>
  <si>
    <t>Lang lang</t>
  </si>
  <si>
    <t>Kalkallo</t>
  </si>
  <si>
    <t>Mansfield</t>
  </si>
  <si>
    <t>Sale</t>
  </si>
  <si>
    <t>HV Customer</t>
  </si>
  <si>
    <t>T3 Incremental Direct costs only</t>
  </si>
  <si>
    <t>Total T3 Opex - REFCL program</t>
  </si>
  <si>
    <t>Total T3 Opex exc Lab escalation ($2015)</t>
  </si>
  <si>
    <t>Real $2015</t>
  </si>
  <si>
    <t>TOTAL DIRECT CAPEX</t>
  </si>
  <si>
    <t>TOTAL DIRECT CAPEX - $2018</t>
  </si>
  <si>
    <t>ACR</t>
  </si>
  <si>
    <t>Contingent Project Application - Total Cost model - Tranche 3</t>
  </si>
  <si>
    <t>Total Opex - real $2015</t>
  </si>
  <si>
    <t>Decision Inflation (Amended)</t>
  </si>
  <si>
    <t>REFCL T3 CPA Network Capex Forecast</t>
  </si>
  <si>
    <t>REFCL T1 &amp; T2 CPA Allowance ($'000s real $2015)</t>
  </si>
  <si>
    <t>Variable Network OH's - Tranche 1</t>
  </si>
  <si>
    <t>Variable Network OH's - Tranche 2</t>
  </si>
  <si>
    <t>AusNet CPA - REFCL T1/T2 - Incremental Overheads Allowance, before escalation adj's - ($'000s real $2015)</t>
  </si>
  <si>
    <t>Total CPA Variable Network OH's Allowance</t>
  </si>
  <si>
    <t>T3 Incremental Overheads ($m, Real 2015)</t>
  </si>
  <si>
    <t>Total Forecast Capex - Contingent Project T3 only ($m Real 2015)</t>
  </si>
  <si>
    <t>(incl T1 / T2 Allowance)</t>
  </si>
  <si>
    <t>Amended Capex Incl T1/T2/T3 - Total ($m, $2015)</t>
  </si>
  <si>
    <t>AST Table 1B - T3 Contingent Project - Standard Control Capex, Incremental ($'000s real $2015)</t>
  </si>
  <si>
    <t>AST Table 1C - EDPR Approved Capex including Contingent Projects (T1-T3) - Standard Control Capex ($'000s real $2015)</t>
  </si>
  <si>
    <t>AST Table 1A - T3 Contingent Project - Standard Control Capex, Incremental ($'000s real $2015)</t>
  </si>
  <si>
    <t>AER Decision on AusNet CPA T1 &amp; T2 - Capex by Purpose</t>
  </si>
  <si>
    <t>T3 Projects schedule - key dates</t>
  </si>
  <si>
    <t>22kV Capacitor Bank (4 x3 MVAr)</t>
  </si>
  <si>
    <t>Installation of 4x3 MVAr Capacitor Bank</t>
  </si>
  <si>
    <t>One Tilt Slab control room</t>
  </si>
  <si>
    <t>Installation of a tilt slab building</t>
  </si>
  <si>
    <t xml:space="preserve">   </t>
  </si>
  <si>
    <t>CPA T3 development costs</t>
  </si>
  <si>
    <t>Additional asset maintenance</t>
  </si>
  <si>
    <t>T3</t>
  </si>
  <si>
    <t>External Design</t>
  </si>
  <si>
    <t>External Construct</t>
  </si>
  <si>
    <t>22kV switchboard (no building) - Rural</t>
  </si>
  <si>
    <t>Installation of 22 kV switchboard only (no building) - Rural</t>
  </si>
  <si>
    <t>Nominal RAB roll forward</t>
  </si>
  <si>
    <t>Amended RAB including T3 Proposed Capex</t>
  </si>
  <si>
    <t>Incremental RAB increase due to T3 REFCL</t>
  </si>
  <si>
    <t>Incremental Revenue due to REFCL T3 Program</t>
  </si>
  <si>
    <t>REFCL T3 Expenditure Forecasts - $2019</t>
  </si>
  <si>
    <t>REFCL T3 Expenditure Forecasts - $Nominal</t>
  </si>
  <si>
    <t xml:space="preserve">Grand </t>
  </si>
  <si>
    <t>REFCL T3 Expenditure Forecasts - $Dec 2015</t>
  </si>
  <si>
    <t>Note, nominal values in this table assume Final Decision annual inflation of 2.35%</t>
  </si>
  <si>
    <t>New ACR units and control boxes</t>
  </si>
  <si>
    <t>DFA scheme - new ACR units and control boxes</t>
  </si>
  <si>
    <t>Establish New (2nd) KLO Zone substation</t>
  </si>
  <si>
    <t>Land purchase for new ZSS</t>
  </si>
  <si>
    <t>RIN Asset Category</t>
  </si>
  <si>
    <t>Direct Labour Cost</t>
  </si>
  <si>
    <t>Direct Material Cost</t>
  </si>
  <si>
    <t>Contracts Cost</t>
  </si>
  <si>
    <t>Other Cost</t>
  </si>
  <si>
    <t>Subtransmission Substations, Switching Stations , Zone Substations</t>
  </si>
  <si>
    <t>CY18 CA RIN Information - AusNet D</t>
  </si>
  <si>
    <t>New Kalkallo (2nd ZSS)</t>
  </si>
  <si>
    <t>KLO2</t>
  </si>
  <si>
    <t>Capacitance reducing isolation substation (10 MVA)</t>
  </si>
  <si>
    <t>Install capacitance reducing isolation substation (10 MVA)</t>
  </si>
  <si>
    <t>Zone substation works</t>
  </si>
  <si>
    <t>Total ($2015)</t>
  </si>
  <si>
    <t>Fuse removal and install solid link</t>
  </si>
  <si>
    <t xml:space="preserve">Install new ACR for switching </t>
  </si>
  <si>
    <t>ACRs</t>
  </si>
  <si>
    <t>Install new ACR for switching</t>
  </si>
  <si>
    <t>EDO fuse augmentation</t>
  </si>
  <si>
    <t>new ACR install</t>
  </si>
  <si>
    <t>Installation of fusesaver and remote control unit - per site</t>
  </si>
  <si>
    <t>Sites for fusesaver</t>
  </si>
  <si>
    <t>Fuse removal - install solid link</t>
  </si>
  <si>
    <t>sites</t>
  </si>
  <si>
    <t>Install fusesaver and control box - per site</t>
  </si>
  <si>
    <t>&lt;spare&gt;</t>
  </si>
  <si>
    <t>Land purchase - 5 sites for Isolating substations</t>
  </si>
  <si>
    <t>2021-25</t>
  </si>
  <si>
    <t>For CPA tables:-</t>
  </si>
  <si>
    <t>Feeder Exit Cables - 22kV</t>
  </si>
  <si>
    <t>Feeder Exit Cables - 22kV 300mm (per metre)</t>
  </si>
  <si>
    <t>Fault throw compliance Test Sites</t>
  </si>
  <si>
    <t>$550 per m</t>
  </si>
  <si>
    <t>Amended Revenue Requirement incl T3 proposed costs and accelerated depreciation of existing assets</t>
  </si>
  <si>
    <t>*Note, Other Program costs includes DFA schemes (stage 2), CPA3 development costs, fault throw compliance testing, repairs and replacement costs (reactive program)</t>
  </si>
  <si>
    <t>Current Period (2016-20)</t>
  </si>
  <si>
    <t>Total REFCL T1 &amp; T2 Approved Network Direct Capex</t>
  </si>
  <si>
    <t>REFCL T2 Incremental Overheads Allowance ($2015)</t>
  </si>
  <si>
    <t>AusNet CPA T2 Allowance - Capex by Purpose</t>
  </si>
  <si>
    <t>Final Decision - including T1/T2 Contingent Projects and annual cost of debt updates</t>
  </si>
  <si>
    <t>Amended Final Decision incl T1 / T2 Allowances</t>
  </si>
  <si>
    <t>SOURCE: AER - AusNet Services 2019 debt update PTRM - REFCL contingent project T2 - PUBLIC.xlsx, excluding equity raising costs</t>
  </si>
  <si>
    <t>check</t>
  </si>
  <si>
    <t>T2 Approved Total Capex - $m, $2015</t>
  </si>
  <si>
    <t>T2 Approved Direct Capex Only - $m, $2015</t>
  </si>
  <si>
    <t>T2 Approved Capitalised Overheads - $m, $2015</t>
  </si>
  <si>
    <t>source: AusNet Services Contingent Project 2 Total Cost Model - updated for EDC change.xlsx</t>
  </si>
  <si>
    <t>REFCL T2 Incremental Direct Costs Allowance, including labour escalation ($2015)</t>
  </si>
  <si>
    <t>AusNet updates since T2 TCM</t>
  </si>
  <si>
    <t>not applicable</t>
  </si>
  <si>
    <t>Land Purchase (Contracts)</t>
  </si>
  <si>
    <t>Tranche 2 (T2) Allowances</t>
  </si>
  <si>
    <t>Benalla</t>
  </si>
  <si>
    <t>Source: AER - AusNet Services 2019 debt update PTRM - REFCL contingent project T2 - PUBLIC.xlsx</t>
  </si>
  <si>
    <t>Forecast</t>
  </si>
  <si>
    <t>New (2nd) KLO Zone substation - High Level Cost estimate ($000's)</t>
  </si>
  <si>
    <t>* 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</si>
</sst>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0.0000"/>
    <numFmt numFmtId="167" formatCode="#,##0.00_ ;\-#,##0.00\ "/>
    <numFmt numFmtId="168" formatCode="#,##0_ ;\-#,##0\ "/>
    <numFmt numFmtId="169" formatCode="_-* #,##0_-;\-* #,##0_-;_-* &quot;-&quot;??_-;_-@_-"/>
    <numFmt numFmtId="170" formatCode="0.0%"/>
    <numFmt numFmtId="171" formatCode="0.00000"/>
    <numFmt numFmtId="172" formatCode="#,##0.0"/>
    <numFmt numFmtId="173" formatCode="_-* #,##0.00000_-;\-* #,##0.00000_-;_-* &quot;-&quot;??_-;_-@_-"/>
    <numFmt numFmtId="174" formatCode="0.0"/>
    <numFmt numFmtId="175" formatCode="_(* #,##0_);_(* \(#,##0\);_(* &quot;-&quot;_);_(@_)"/>
    <numFmt numFmtId="176" formatCode="_(* #,##0.00_);_(* \(#,##0.00\);_(* &quot;-&quot;??_);_(@_)"/>
    <numFmt numFmtId="177" formatCode="_(* #,##0_);_(* \(#,##0\);_(* &quot;-&quot;?_);_(@_)"/>
    <numFmt numFmtId="178" formatCode="_-* #,##0.0_-;[Red]\-* #,##0.0_-;_-* &quot;-&quot;??_-;_-@_-"/>
    <numFmt numFmtId="179" formatCode="_-* #,##0.00_-;\-* #,##0.00_-;_-* &quot;-&quot;?_-;_-@_-"/>
    <numFmt numFmtId="180" formatCode="_-* #,##0_-;\-* #,##0_-;_-* &quot;-&quot;?_-;_-@_-"/>
    <numFmt numFmtId="181" formatCode="_-&quot;$&quot;* #,##0_-;\-&quot;$&quot;* #,##0_-;_-&quot;$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ck">
        <color auto="1"/>
      </top>
      <bottom style="thin">
        <color theme="1" tint="0.499984740745262"/>
      </bottom>
      <diagonal/>
    </border>
    <border>
      <left/>
      <right style="thick">
        <color auto="1"/>
      </right>
      <top style="thick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double">
        <color auto="1"/>
      </right>
      <top style="thin">
        <color theme="1" tint="0.499984740745262"/>
      </top>
      <bottom/>
      <diagonal/>
    </border>
    <border>
      <left/>
      <right style="thick">
        <color auto="1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auto="1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auto="1"/>
      </right>
      <top/>
      <bottom style="thin">
        <color theme="1" tint="0.499984740745262"/>
      </bottom>
      <diagonal/>
    </border>
    <border>
      <left style="thick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auto="1"/>
      </bottom>
      <diagonal/>
    </border>
    <border>
      <left style="thin">
        <color theme="1" tint="0.499984740745262"/>
      </left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Fill="0"/>
    <xf numFmtId="0" fontId="6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175" fontId="6" fillId="14" borderId="0" applyNumberFormat="0" applyFont="0" applyBorder="0" applyAlignment="0">
      <alignment horizontal="right"/>
    </xf>
    <xf numFmtId="175" fontId="6" fillId="14" borderId="0" applyNumberFormat="0" applyFont="0" applyBorder="0" applyAlignment="0">
      <alignment horizontal="right"/>
    </xf>
    <xf numFmtId="175" fontId="6" fillId="14" borderId="0" applyNumberFormat="0" applyFont="0" applyBorder="0" applyAlignment="0">
      <alignment horizontal="right"/>
    </xf>
    <xf numFmtId="0" fontId="31" fillId="11" borderId="69" applyNumberFormat="0" applyAlignment="0" applyProtection="0"/>
    <xf numFmtId="176" fontId="32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9" borderId="69" applyNumberFormat="0" applyAlignment="0" applyProtection="0"/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5" fontId="6" fillId="15" borderId="0" applyFont="0" applyBorder="0" applyAlignment="0">
      <alignment horizontal="right"/>
      <protection locked="0"/>
    </xf>
    <xf numFmtId="177" fontId="6" fillId="16" borderId="0" applyFont="0" applyBorder="0">
      <alignment horizontal="right"/>
      <protection locked="0"/>
    </xf>
    <xf numFmtId="177" fontId="6" fillId="16" borderId="0" applyFont="0" applyBorder="0">
      <alignment horizontal="right"/>
      <protection locked="0"/>
    </xf>
    <xf numFmtId="177" fontId="6" fillId="16" borderId="0" applyFont="0" applyBorder="0">
      <alignment horizontal="right"/>
      <protection locked="0"/>
    </xf>
    <xf numFmtId="175" fontId="6" fillId="17" borderId="0" applyFont="0" applyBorder="0">
      <alignment horizontal="right"/>
      <protection locked="0"/>
    </xf>
    <xf numFmtId="175" fontId="6" fillId="17" borderId="0" applyFont="0" applyBorder="0">
      <alignment horizontal="right"/>
      <protection locked="0"/>
    </xf>
    <xf numFmtId="175" fontId="6" fillId="17" borderId="0" applyFont="0" applyBorder="0">
      <alignment horizontal="right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8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18" borderId="0"/>
    <xf numFmtId="0" fontId="6" fillId="0" borderId="0"/>
    <xf numFmtId="0" fontId="6" fillId="0" borderId="0"/>
    <xf numFmtId="0" fontId="6" fillId="18" borderId="0"/>
    <xf numFmtId="0" fontId="6" fillId="18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70" applyNumberFormat="0" applyFont="0" applyAlignment="0" applyProtection="0"/>
    <xf numFmtId="0" fontId="6" fillId="10" borderId="70" applyNumberFormat="0" applyFont="0" applyAlignment="0" applyProtection="0"/>
    <xf numFmtId="0" fontId="6" fillId="10" borderId="70" applyNumberFormat="0" applyFont="0" applyAlignment="0" applyProtection="0"/>
    <xf numFmtId="0" fontId="6" fillId="10" borderId="70" applyNumberFormat="0" applyFont="0" applyAlignment="0" applyProtection="0"/>
    <xf numFmtId="0" fontId="36" fillId="11" borderId="71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72" applyNumberFormat="0" applyFill="0" applyAlignment="0" applyProtection="0"/>
  </cellStyleXfs>
  <cellXfs count="7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vertical="center"/>
    </xf>
    <xf numFmtId="14" fontId="0" fillId="0" borderId="0" xfId="1" applyNumberFormat="1" applyFont="1"/>
    <xf numFmtId="14" fontId="0" fillId="0" borderId="0" xfId="0" applyNumberFormat="1"/>
    <xf numFmtId="0" fontId="2" fillId="0" borderId="0" xfId="0" applyFont="1" applyAlignment="1">
      <alignment vertical="center" wrapText="1"/>
    </xf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 wrapText="1"/>
    </xf>
    <xf numFmtId="164" fontId="0" fillId="0" borderId="0" xfId="0" applyNumberFormat="1"/>
    <xf numFmtId="9" fontId="0" fillId="0" borderId="0" xfId="2" applyFont="1"/>
    <xf numFmtId="9" fontId="0" fillId="0" borderId="0" xfId="0" applyNumberFormat="1"/>
    <xf numFmtId="14" fontId="0" fillId="0" borderId="0" xfId="0" applyNumberFormat="1" applyFill="1"/>
    <xf numFmtId="0" fontId="0" fillId="0" borderId="2" xfId="0" applyBorder="1" applyAlignment="1">
      <alignment horizontal="center"/>
    </xf>
    <xf numFmtId="165" fontId="0" fillId="0" borderId="0" xfId="0" applyNumberFormat="1"/>
    <xf numFmtId="14" fontId="0" fillId="0" borderId="0" xfId="1" applyNumberFormat="1" applyFont="1" applyFill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164" fontId="0" fillId="0" borderId="1" xfId="1" applyNumberFormat="1" applyFont="1" applyBorder="1"/>
    <xf numFmtId="0" fontId="2" fillId="0" borderId="0" xfId="0" applyFont="1"/>
    <xf numFmtId="164" fontId="2" fillId="0" borderId="1" xfId="1" applyNumberFormat="1" applyFont="1" applyBorder="1"/>
    <xf numFmtId="169" fontId="0" fillId="0" borderId="0" xfId="1" applyNumberFormat="1" applyFont="1"/>
    <xf numFmtId="169" fontId="0" fillId="0" borderId="0" xfId="0" applyNumberFormat="1"/>
    <xf numFmtId="169" fontId="0" fillId="0" borderId="26" xfId="1" applyNumberFormat="1" applyFont="1" applyBorder="1"/>
    <xf numFmtId="10" fontId="0" fillId="0" borderId="0" xfId="0" applyNumberFormat="1"/>
    <xf numFmtId="164" fontId="0" fillId="4" borderId="0" xfId="0" applyNumberFormat="1" applyFill="1"/>
    <xf numFmtId="169" fontId="0" fillId="4" borderId="3" xfId="1" applyNumberFormat="1" applyFont="1" applyFill="1" applyBorder="1"/>
    <xf numFmtId="169" fontId="0" fillId="4" borderId="1" xfId="1" applyNumberFormat="1" applyFont="1" applyFill="1" applyBorder="1"/>
    <xf numFmtId="169" fontId="0" fillId="4" borderId="4" xfId="1" applyNumberFormat="1" applyFont="1" applyFill="1" applyBorder="1"/>
    <xf numFmtId="170" fontId="0" fillId="0" borderId="0" xfId="2" applyNumberFormat="1" applyFont="1"/>
    <xf numFmtId="169" fontId="0" fillId="0" borderId="1" xfId="0" applyNumberFormat="1" applyBorder="1"/>
    <xf numFmtId="10" fontId="0" fillId="0" borderId="0" xfId="2" applyNumberFormat="1" applyFont="1"/>
    <xf numFmtId="164" fontId="0" fillId="0" borderId="0" xfId="1" applyNumberFormat="1" applyFont="1" applyFill="1"/>
    <xf numFmtId="164" fontId="0" fillId="0" borderId="26" xfId="1" applyNumberFormat="1" applyFont="1" applyBorder="1"/>
    <xf numFmtId="164" fontId="0" fillId="0" borderId="26" xfId="0" applyNumberFormat="1" applyBorder="1"/>
    <xf numFmtId="0" fontId="7" fillId="0" borderId="0" xfId="0" applyFont="1"/>
    <xf numFmtId="14" fontId="2" fillId="0" borderId="0" xfId="1" applyNumberFormat="1" applyFont="1"/>
    <xf numFmtId="0" fontId="0" fillId="0" borderId="26" xfId="0" applyBorder="1"/>
    <xf numFmtId="10" fontId="0" fillId="0" borderId="0" xfId="2" applyNumberFormat="1" applyFont="1" applyFill="1"/>
    <xf numFmtId="0" fontId="0" fillId="0" borderId="1" xfId="0" applyBorder="1"/>
    <xf numFmtId="0" fontId="0" fillId="0" borderId="0" xfId="0" applyFill="1"/>
    <xf numFmtId="43" fontId="0" fillId="0" borderId="0" xfId="1" applyNumberFormat="1" applyFont="1"/>
    <xf numFmtId="0" fontId="8" fillId="0" borderId="0" xfId="0" applyFont="1"/>
    <xf numFmtId="166" fontId="0" fillId="0" borderId="0" xfId="0" applyNumberFormat="1"/>
    <xf numFmtId="0" fontId="0" fillId="0" borderId="0" xfId="0" applyFill="1" applyAlignment="1">
      <alignment horizontal="center"/>
    </xf>
    <xf numFmtId="171" fontId="0" fillId="0" borderId="0" xfId="0" applyNumberFormat="1" applyFill="1"/>
    <xf numFmtId="169" fontId="0" fillId="0" borderId="26" xfId="0" applyNumberFormat="1" applyBorder="1"/>
    <xf numFmtId="0" fontId="11" fillId="0" borderId="0" xfId="0" applyFont="1"/>
    <xf numFmtId="0" fontId="12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indent="1"/>
    </xf>
    <xf numFmtId="0" fontId="13" fillId="0" borderId="9" xfId="4" applyFont="1" applyFill="1" applyBorder="1" applyAlignment="1">
      <alignment horizontal="right" vertical="center" wrapText="1" indent="2"/>
    </xf>
    <xf numFmtId="0" fontId="13" fillId="0" borderId="10" xfId="4" applyFont="1" applyFill="1" applyBorder="1" applyAlignment="1">
      <alignment horizontal="right" vertical="center" wrapText="1" indent="2"/>
    </xf>
    <xf numFmtId="0" fontId="13" fillId="0" borderId="11" xfId="4" applyFont="1" applyFill="1" applyBorder="1" applyAlignment="1">
      <alignment horizontal="right" vertical="center" wrapText="1" indent="2"/>
    </xf>
    <xf numFmtId="0" fontId="1" fillId="0" borderId="12" xfId="0" applyFont="1" applyFill="1" applyBorder="1" applyAlignment="1">
      <alignment horizontal="left" vertical="center" indent="3"/>
    </xf>
    <xf numFmtId="0" fontId="13" fillId="0" borderId="13" xfId="4" applyFont="1" applyFill="1" applyBorder="1" applyAlignment="1">
      <alignment horizontal="right" vertical="center" wrapText="1" indent="2"/>
    </xf>
    <xf numFmtId="0" fontId="13" fillId="0" borderId="14" xfId="4" applyFont="1" applyFill="1" applyBorder="1" applyAlignment="1">
      <alignment horizontal="right" vertical="center" wrapText="1" indent="2"/>
    </xf>
    <xf numFmtId="0" fontId="13" fillId="0" borderId="15" xfId="4" applyFont="1" applyFill="1" applyBorder="1" applyAlignment="1">
      <alignment horizontal="right" vertical="center" wrapText="1" indent="2"/>
    </xf>
    <xf numFmtId="0" fontId="1" fillId="0" borderId="12" xfId="0" applyFont="1" applyFill="1" applyBorder="1" applyAlignment="1">
      <alignment horizontal="left" vertical="center" indent="5"/>
    </xf>
    <xf numFmtId="168" fontId="14" fillId="0" borderId="14" xfId="0" applyNumberFormat="1" applyFont="1" applyFill="1" applyBorder="1" applyAlignment="1">
      <alignment horizontal="right" vertical="center" indent="2"/>
    </xf>
    <xf numFmtId="168" fontId="14" fillId="0" borderId="20" xfId="0" applyNumberFormat="1" applyFont="1" applyFill="1" applyBorder="1" applyAlignment="1">
      <alignment horizontal="right" vertical="center" indent="2"/>
    </xf>
    <xf numFmtId="0" fontId="0" fillId="0" borderId="0" xfId="0" applyFont="1" applyFill="1" applyBorder="1" applyAlignment="1">
      <alignment vertical="center"/>
    </xf>
    <xf numFmtId="168" fontId="0" fillId="0" borderId="0" xfId="0" applyNumberFormat="1" applyFont="1"/>
    <xf numFmtId="0" fontId="0" fillId="5" borderId="0" xfId="0" applyFill="1"/>
    <xf numFmtId="1" fontId="0" fillId="0" borderId="0" xfId="2" applyNumberFormat="1" applyFont="1"/>
    <xf numFmtId="0" fontId="5" fillId="5" borderId="0" xfId="0" applyFont="1" applyFill="1"/>
    <xf numFmtId="0" fontId="0" fillId="5" borderId="0" xfId="0" applyFill="1" applyAlignment="1">
      <alignment horizontal="left" indent="1"/>
    </xf>
    <xf numFmtId="0" fontId="15" fillId="5" borderId="0" xfId="0" applyFont="1" applyFill="1"/>
    <xf numFmtId="0" fontId="5" fillId="5" borderId="0" xfId="0" applyFont="1" applyFill="1" applyAlignment="1">
      <alignment horizontal="left"/>
    </xf>
    <xf numFmtId="164" fontId="2" fillId="0" borderId="0" xfId="0" applyNumberFormat="1" applyFont="1"/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8" fillId="2" borderId="28" xfId="3" applyFont="1" applyFill="1" applyBorder="1" applyAlignment="1">
      <alignment horizontal="left" vertical="center" indent="1"/>
    </xf>
    <xf numFmtId="0" fontId="14" fillId="5" borderId="29" xfId="4" applyFont="1" applyFill="1" applyBorder="1" applyAlignment="1">
      <alignment vertical="center" wrapText="1"/>
    </xf>
    <xf numFmtId="0" fontId="13" fillId="0" borderId="30" xfId="4" applyFont="1" applyFill="1" applyBorder="1" applyAlignment="1">
      <alignment horizontal="right" vertical="center" wrapText="1" indent="2"/>
    </xf>
    <xf numFmtId="0" fontId="13" fillId="0" borderId="31" xfId="4" applyFont="1" applyFill="1" applyBorder="1" applyAlignment="1">
      <alignment horizontal="right" vertical="center" wrapText="1" indent="2"/>
    </xf>
    <xf numFmtId="0" fontId="13" fillId="0" borderId="32" xfId="4" applyFont="1" applyFill="1" applyBorder="1" applyAlignment="1">
      <alignment horizontal="right" vertical="center" wrapText="1" indent="2"/>
    </xf>
    <xf numFmtId="0" fontId="13" fillId="0" borderId="7" xfId="4" applyFont="1" applyFill="1" applyBorder="1" applyAlignment="1">
      <alignment horizontal="right" vertical="center" wrapText="1" indent="2"/>
    </xf>
    <xf numFmtId="0" fontId="1" fillId="0" borderId="33" xfId="0" applyFont="1" applyBorder="1" applyAlignment="1">
      <alignment horizontal="left" vertical="center" indent="4"/>
    </xf>
    <xf numFmtId="168" fontId="1" fillId="3" borderId="34" xfId="0" applyNumberFormat="1" applyFont="1" applyFill="1" applyBorder="1" applyAlignment="1">
      <alignment horizontal="right" vertical="center" indent="1"/>
    </xf>
    <xf numFmtId="168" fontId="1" fillId="3" borderId="35" xfId="0" applyNumberFormat="1" applyFont="1" applyFill="1" applyBorder="1" applyAlignment="1">
      <alignment horizontal="right" vertical="center" indent="1"/>
    </xf>
    <xf numFmtId="168" fontId="1" fillId="3" borderId="36" xfId="0" applyNumberFormat="1" applyFont="1" applyFill="1" applyBorder="1" applyAlignment="1">
      <alignment horizontal="right" vertical="center" indent="1"/>
    </xf>
    <xf numFmtId="168" fontId="1" fillId="5" borderId="37" xfId="0" applyNumberFormat="1" applyFont="1" applyFill="1" applyBorder="1" applyAlignment="1">
      <alignment horizontal="right" vertical="center" indent="1"/>
    </xf>
    <xf numFmtId="168" fontId="1" fillId="3" borderId="38" xfId="0" applyNumberFormat="1" applyFont="1" applyFill="1" applyBorder="1" applyAlignment="1">
      <alignment horizontal="right" vertical="center" indent="1"/>
    </xf>
    <xf numFmtId="168" fontId="1" fillId="3" borderId="39" xfId="0" applyNumberFormat="1" applyFont="1" applyFill="1" applyBorder="1" applyAlignment="1">
      <alignment horizontal="right" vertical="center" indent="1"/>
    </xf>
    <xf numFmtId="168" fontId="1" fillId="3" borderId="40" xfId="0" applyNumberFormat="1" applyFont="1" applyFill="1" applyBorder="1" applyAlignment="1">
      <alignment horizontal="right" vertical="center" indent="1"/>
    </xf>
    <xf numFmtId="168" fontId="1" fillId="5" borderId="41" xfId="0" applyNumberFormat="1" applyFont="1" applyFill="1" applyBorder="1" applyAlignment="1">
      <alignment horizontal="right" vertical="center" indent="1"/>
    </xf>
    <xf numFmtId="0" fontId="14" fillId="0" borderId="33" xfId="0" applyFont="1" applyBorder="1" applyAlignment="1">
      <alignment horizontal="left" vertical="center" indent="4"/>
    </xf>
    <xf numFmtId="168" fontId="1" fillId="3" borderId="42" xfId="0" applyNumberFormat="1" applyFont="1" applyFill="1" applyBorder="1" applyAlignment="1">
      <alignment horizontal="right" vertical="center" indent="1"/>
    </xf>
    <xf numFmtId="168" fontId="1" fillId="3" borderId="43" xfId="0" applyNumberFormat="1" applyFont="1" applyFill="1" applyBorder="1" applyAlignment="1">
      <alignment horizontal="right" vertical="center" indent="1"/>
    </xf>
    <xf numFmtId="168" fontId="1" fillId="3" borderId="44" xfId="0" applyNumberFormat="1" applyFont="1" applyFill="1" applyBorder="1" applyAlignment="1">
      <alignment horizontal="right" vertical="center" indent="1"/>
    </xf>
    <xf numFmtId="168" fontId="1" fillId="5" borderId="45" xfId="0" applyNumberFormat="1" applyFont="1" applyFill="1" applyBorder="1" applyAlignment="1">
      <alignment horizontal="right" vertical="center" indent="1"/>
    </xf>
    <xf numFmtId="0" fontId="2" fillId="0" borderId="46" xfId="0" applyFont="1" applyBorder="1" applyAlignment="1">
      <alignment horizontal="right" vertical="center" indent="2"/>
    </xf>
    <xf numFmtId="168" fontId="1" fillId="0" borderId="47" xfId="0" applyNumberFormat="1" applyFont="1" applyFill="1" applyBorder="1" applyAlignment="1">
      <alignment horizontal="right" vertical="center" indent="1"/>
    </xf>
    <xf numFmtId="168" fontId="1" fillId="0" borderId="48" xfId="0" applyNumberFormat="1" applyFont="1" applyFill="1" applyBorder="1" applyAlignment="1">
      <alignment horizontal="right" vertical="center" indent="1"/>
    </xf>
    <xf numFmtId="168" fontId="1" fillId="0" borderId="49" xfId="0" applyNumberFormat="1" applyFont="1" applyFill="1" applyBorder="1" applyAlignment="1">
      <alignment horizontal="right" vertical="center" indent="1"/>
    </xf>
    <xf numFmtId="168" fontId="1" fillId="5" borderId="50" xfId="0" applyNumberFormat="1" applyFont="1" applyFill="1" applyBorder="1" applyAlignment="1">
      <alignment horizontal="right" vertical="center" indent="1"/>
    </xf>
    <xf numFmtId="0" fontId="14" fillId="0" borderId="51" xfId="0" applyFont="1" applyBorder="1" applyAlignment="1">
      <alignment horizontal="right" vertical="center" indent="9"/>
    </xf>
    <xf numFmtId="168" fontId="1" fillId="3" borderId="52" xfId="0" applyNumberFormat="1" applyFont="1" applyFill="1" applyBorder="1" applyAlignment="1">
      <alignment horizontal="right" vertical="center" indent="1"/>
    </xf>
    <xf numFmtId="168" fontId="1" fillId="3" borderId="53" xfId="0" applyNumberFormat="1" applyFont="1" applyFill="1" applyBorder="1" applyAlignment="1">
      <alignment horizontal="right" vertical="center" indent="1"/>
    </xf>
    <xf numFmtId="168" fontId="1" fillId="3" borderId="54" xfId="0" applyNumberFormat="1" applyFont="1" applyFill="1" applyBorder="1" applyAlignment="1">
      <alignment horizontal="right" vertical="center" indent="1"/>
    </xf>
    <xf numFmtId="0" fontId="13" fillId="0" borderId="55" xfId="0" applyFont="1" applyBorder="1" applyAlignment="1">
      <alignment horizontal="right" vertical="center" indent="2"/>
    </xf>
    <xf numFmtId="168" fontId="1" fillId="5" borderId="56" xfId="5" applyNumberFormat="1" applyFont="1" applyFill="1" applyBorder="1" applyAlignment="1">
      <alignment horizontal="right" vertical="center" indent="1"/>
    </xf>
    <xf numFmtId="168" fontId="1" fillId="5" borderId="57" xfId="5" applyNumberFormat="1" applyFont="1" applyFill="1" applyBorder="1" applyAlignment="1">
      <alignment horizontal="right" vertical="center" indent="1"/>
    </xf>
    <xf numFmtId="168" fontId="1" fillId="5" borderId="58" xfId="5" applyNumberFormat="1" applyFont="1" applyFill="1" applyBorder="1" applyAlignment="1">
      <alignment horizontal="right" vertical="center" indent="1"/>
    </xf>
    <xf numFmtId="168" fontId="1" fillId="5" borderId="59" xfId="5" applyNumberFormat="1" applyFont="1" applyFill="1" applyBorder="1" applyAlignment="1">
      <alignment horizontal="right" vertical="center" indent="1"/>
    </xf>
    <xf numFmtId="0" fontId="19" fillId="2" borderId="5" xfId="3" applyFont="1" applyFill="1" applyBorder="1" applyAlignment="1">
      <alignment horizontal="left" vertical="center" indent="1"/>
    </xf>
    <xf numFmtId="168" fontId="0" fillId="0" borderId="0" xfId="0" applyNumberFormat="1"/>
    <xf numFmtId="169" fontId="0" fillId="0" borderId="1" xfId="1" applyNumberFormat="1" applyFont="1" applyBorder="1"/>
    <xf numFmtId="169" fontId="0" fillId="0" borderId="27" xfId="0" applyNumberFormat="1" applyBorder="1"/>
    <xf numFmtId="0" fontId="16" fillId="6" borderId="0" xfId="0" applyFont="1" applyFill="1"/>
    <xf numFmtId="0" fontId="19" fillId="6" borderId="0" xfId="0" applyFont="1" applyFill="1" applyAlignment="1">
      <alignment vertical="center"/>
    </xf>
    <xf numFmtId="168" fontId="14" fillId="0" borderId="0" xfId="0" applyNumberFormat="1" applyFont="1" applyFill="1" applyBorder="1" applyAlignment="1">
      <alignment horizontal="right"/>
    </xf>
    <xf numFmtId="169" fontId="0" fillId="0" borderId="0" xfId="0" applyNumberFormat="1" applyFont="1"/>
    <xf numFmtId="164" fontId="1" fillId="0" borderId="1" xfId="1" applyNumberFormat="1" applyFont="1" applyBorder="1"/>
    <xf numFmtId="164" fontId="0" fillId="4" borderId="1" xfId="0" applyNumberFormat="1" applyFont="1" applyFill="1" applyBorder="1"/>
    <xf numFmtId="0" fontId="20" fillId="0" borderId="0" xfId="0" applyFont="1"/>
    <xf numFmtId="0" fontId="13" fillId="0" borderId="0" xfId="0" applyFont="1"/>
    <xf numFmtId="0" fontId="19" fillId="2" borderId="0" xfId="0" applyFont="1" applyFill="1" applyAlignment="1">
      <alignment vertical="center"/>
    </xf>
    <xf numFmtId="0" fontId="16" fillId="2" borderId="0" xfId="0" applyFont="1" applyFill="1"/>
    <xf numFmtId="0" fontId="21" fillId="5" borderId="0" xfId="6" applyFill="1" applyAlignment="1">
      <alignment horizontal="left" indent="1"/>
    </xf>
    <xf numFmtId="0" fontId="22" fillId="5" borderId="0" xfId="0" applyFont="1" applyFill="1"/>
    <xf numFmtId="164" fontId="1" fillId="0" borderId="0" xfId="1" applyNumberFormat="1" applyFont="1"/>
    <xf numFmtId="0" fontId="0" fillId="0" borderId="0" xfId="0" applyFont="1"/>
    <xf numFmtId="165" fontId="0" fillId="0" borderId="0" xfId="0" applyNumberFormat="1" applyFont="1"/>
    <xf numFmtId="0" fontId="24" fillId="7" borderId="0" xfId="0" applyFont="1" applyFill="1" applyAlignment="1">
      <alignment vertical="center" wrapText="1"/>
    </xf>
    <xf numFmtId="0" fontId="25" fillId="0" borderId="61" xfId="0" applyFont="1" applyBorder="1" applyAlignment="1">
      <alignment vertical="center"/>
    </xf>
    <xf numFmtId="0" fontId="26" fillId="0" borderId="62" xfId="0" applyFont="1" applyBorder="1" applyAlignment="1">
      <alignment horizontal="right" vertical="center"/>
    </xf>
    <xf numFmtId="0" fontId="23" fillId="0" borderId="61" xfId="0" applyFont="1" applyBorder="1" applyAlignment="1">
      <alignment vertical="center"/>
    </xf>
    <xf numFmtId="0" fontId="26" fillId="0" borderId="62" xfId="0" applyFont="1" applyBorder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23" fillId="0" borderId="61" xfId="0" applyFont="1" applyBorder="1" applyAlignment="1">
      <alignment vertical="center" wrapText="1"/>
    </xf>
    <xf numFmtId="0" fontId="27" fillId="0" borderId="0" xfId="0" applyFont="1"/>
    <xf numFmtId="169" fontId="0" fillId="0" borderId="0" xfId="1" applyNumberFormat="1" applyFont="1" applyFill="1"/>
    <xf numFmtId="0" fontId="2" fillId="0" borderId="0" xfId="0" applyFont="1" applyFill="1"/>
    <xf numFmtId="0" fontId="25" fillId="0" borderId="62" xfId="0" applyFont="1" applyBorder="1" applyAlignment="1">
      <alignment vertical="center"/>
    </xf>
    <xf numFmtId="0" fontId="23" fillId="0" borderId="62" xfId="0" applyFont="1" applyBorder="1" applyAlignment="1">
      <alignment vertical="center" wrapText="1"/>
    </xf>
    <xf numFmtId="0" fontId="23" fillId="0" borderId="62" xfId="0" applyFont="1" applyBorder="1" applyAlignment="1">
      <alignment vertical="center"/>
    </xf>
    <xf numFmtId="166" fontId="0" fillId="0" borderId="0" xfId="1" applyNumberFormat="1" applyFont="1" applyFill="1"/>
    <xf numFmtId="14" fontId="0" fillId="0" borderId="0" xfId="1" applyNumberFormat="1" applyFont="1" applyAlignment="1">
      <alignment horizontal="left" indent="1"/>
    </xf>
    <xf numFmtId="164" fontId="0" fillId="0" borderId="0" xfId="1" applyNumberFormat="1" applyFont="1" applyBorder="1"/>
    <xf numFmtId="169" fontId="0" fillId="0" borderId="27" xfId="1" applyNumberFormat="1" applyFont="1" applyBorder="1"/>
    <xf numFmtId="170" fontId="0" fillId="0" borderId="0" xfId="2" applyNumberFormat="1" applyFont="1" applyFill="1" applyBorder="1"/>
    <xf numFmtId="169" fontId="0" fillId="0" borderId="0" xfId="1" applyNumberFormat="1" applyFont="1" applyBorder="1"/>
    <xf numFmtId="0" fontId="0" fillId="0" borderId="0" xfId="1" applyNumberFormat="1" applyFont="1" applyAlignment="1">
      <alignment horizontal="center"/>
    </xf>
    <xf numFmtId="166" fontId="0" fillId="0" borderId="0" xfId="0" applyNumberFormat="1" applyFill="1"/>
    <xf numFmtId="10" fontId="0" fillId="0" borderId="0" xfId="0" applyNumberFormat="1" applyFill="1"/>
    <xf numFmtId="10" fontId="1" fillId="0" borderId="0" xfId="2" applyNumberFormat="1" applyFont="1" applyFill="1" applyBorder="1"/>
    <xf numFmtId="0" fontId="1" fillId="0" borderId="12" xfId="0" applyFont="1" applyFill="1" applyBorder="1" applyAlignment="1">
      <alignment horizontal="right" vertical="center" indent="4"/>
    </xf>
    <xf numFmtId="0" fontId="1" fillId="0" borderId="17" xfId="0" applyFont="1" applyFill="1" applyBorder="1" applyAlignment="1">
      <alignment horizontal="right" vertical="center" indent="4"/>
    </xf>
    <xf numFmtId="0" fontId="1" fillId="0" borderId="23" xfId="0" applyFont="1" applyFill="1" applyBorder="1" applyAlignment="1">
      <alignment horizontal="right" vertical="center" indent="4"/>
    </xf>
    <xf numFmtId="164" fontId="2" fillId="0" borderId="1" xfId="1" applyNumberFormat="1" applyFont="1" applyFill="1" applyBorder="1"/>
    <xf numFmtId="43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4" fontId="12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Alignment="1"/>
    <xf numFmtId="0" fontId="27" fillId="0" borderId="0" xfId="0" applyFont="1" applyAlignment="1"/>
    <xf numFmtId="0" fontId="1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left"/>
    </xf>
    <xf numFmtId="164" fontId="0" fillId="0" borderId="63" xfId="1" applyNumberFormat="1" applyFont="1" applyBorder="1"/>
    <xf numFmtId="164" fontId="0" fillId="0" borderId="63" xfId="0" applyNumberFormat="1" applyBorder="1"/>
    <xf numFmtId="169" fontId="0" fillId="0" borderId="63" xfId="1" applyNumberFormat="1" applyFont="1" applyBorder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6" fillId="6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164" fontId="0" fillId="0" borderId="27" xfId="0" applyNumberFormat="1" applyBorder="1"/>
    <xf numFmtId="0" fontId="0" fillId="0" borderId="0" xfId="0" applyBorder="1" applyAlignment="1">
      <alignment horizontal="center"/>
    </xf>
    <xf numFmtId="169" fontId="11" fillId="0" borderId="0" xfId="1" applyNumberFormat="1" applyFont="1"/>
    <xf numFmtId="169" fontId="11" fillId="0" borderId="0" xfId="0" applyNumberFormat="1" applyFont="1"/>
    <xf numFmtId="9" fontId="0" fillId="0" borderId="26" xfId="2" applyFont="1" applyBorder="1"/>
    <xf numFmtId="9" fontId="0" fillId="0" borderId="26" xfId="0" applyNumberFormat="1" applyBorder="1"/>
    <xf numFmtId="0" fontId="11" fillId="0" borderId="0" xfId="0" quotePrefix="1" applyFont="1"/>
    <xf numFmtId="9" fontId="0" fillId="0" borderId="0" xfId="2" applyFont="1" applyBorder="1"/>
    <xf numFmtId="9" fontId="0" fillId="0" borderId="0" xfId="0" applyNumberFormat="1" applyBorder="1"/>
    <xf numFmtId="0" fontId="0" fillId="0" borderId="0" xfId="0" quotePrefix="1" applyFill="1"/>
    <xf numFmtId="164" fontId="0" fillId="0" borderId="1" xfId="1" applyNumberFormat="1" applyFont="1" applyFill="1" applyBorder="1"/>
    <xf numFmtId="164" fontId="0" fillId="0" borderId="0" xfId="0" applyNumberFormat="1" applyFill="1"/>
    <xf numFmtId="164" fontId="11" fillId="0" borderId="0" xfId="0" applyNumberFormat="1" applyFont="1"/>
    <xf numFmtId="43" fontId="11" fillId="0" borderId="0" xfId="1" applyFont="1"/>
    <xf numFmtId="165" fontId="11" fillId="0" borderId="0" xfId="0" applyNumberFormat="1" applyFont="1"/>
    <xf numFmtId="43" fontId="11" fillId="0" borderId="0" xfId="1" applyFont="1" applyBorder="1"/>
    <xf numFmtId="43" fontId="11" fillId="0" borderId="0" xfId="0" applyNumberFormat="1" applyFont="1"/>
    <xf numFmtId="164" fontId="11" fillId="0" borderId="0" xfId="1" applyNumberFormat="1" applyFont="1" applyBorder="1"/>
    <xf numFmtId="0" fontId="22" fillId="0" borderId="0" xfId="0" applyFont="1" applyFill="1" applyAlignment="1">
      <alignment horizontal="left"/>
    </xf>
    <xf numFmtId="0" fontId="29" fillId="0" borderId="0" xfId="0" applyFont="1"/>
    <xf numFmtId="14" fontId="29" fillId="0" borderId="0" xfId="1" applyNumberFormat="1" applyFont="1"/>
    <xf numFmtId="164" fontId="11" fillId="0" borderId="0" xfId="1" applyNumberFormat="1" applyFont="1"/>
    <xf numFmtId="43" fontId="11" fillId="0" borderId="0" xfId="0" applyNumberFormat="1" applyFont="1" applyFill="1"/>
    <xf numFmtId="0" fontId="0" fillId="0" borderId="0" xfId="0" applyAlignment="1">
      <alignment wrapText="1"/>
    </xf>
    <xf numFmtId="174" fontId="0" fillId="0" borderId="0" xfId="0" applyNumberFormat="1"/>
    <xf numFmtId="0" fontId="11" fillId="0" borderId="0" xfId="0" applyFont="1" applyAlignment="1">
      <alignment horizontal="center"/>
    </xf>
    <xf numFmtId="6" fontId="0" fillId="0" borderId="0" xfId="0" quotePrefix="1" applyNumberFormat="1" applyAlignment="1">
      <alignment horizontal="center"/>
    </xf>
    <xf numFmtId="174" fontId="0" fillId="0" borderId="0" xfId="0" applyNumberFormat="1" applyFill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wrapText="1"/>
    </xf>
    <xf numFmtId="164" fontId="0" fillId="0" borderId="14" xfId="1" applyNumberFormat="1" applyFont="1" applyBorder="1" applyAlignment="1">
      <alignment horizontal="right"/>
    </xf>
    <xf numFmtId="164" fontId="0" fillId="0" borderId="14" xfId="0" applyNumberFormat="1" applyBorder="1"/>
    <xf numFmtId="0" fontId="0" fillId="0" borderId="14" xfId="0" applyBorder="1"/>
    <xf numFmtId="164" fontId="0" fillId="0" borderId="14" xfId="1" applyNumberFormat="1" applyFont="1" applyBorder="1" applyAlignment="1"/>
    <xf numFmtId="164" fontId="0" fillId="0" borderId="14" xfId="1" applyNumberFormat="1" applyFont="1" applyFill="1" applyBorder="1" applyAlignment="1"/>
    <xf numFmtId="43" fontId="0" fillId="0" borderId="14" xfId="1" applyFont="1" applyBorder="1"/>
    <xf numFmtId="164" fontId="0" fillId="0" borderId="14" xfId="1" applyNumberFormat="1" applyFont="1" applyBorder="1"/>
    <xf numFmtId="164" fontId="0" fillId="0" borderId="64" xfId="1" applyNumberFormat="1" applyFont="1" applyBorder="1"/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6" xfId="0" applyBorder="1"/>
    <xf numFmtId="164" fontId="0" fillId="0" borderId="13" xfId="1" applyNumberFormat="1" applyFont="1" applyBorder="1"/>
    <xf numFmtId="0" fontId="0" fillId="0" borderId="67" xfId="0" applyBorder="1"/>
    <xf numFmtId="174" fontId="0" fillId="0" borderId="14" xfId="0" applyNumberFormat="1" applyBorder="1"/>
    <xf numFmtId="0" fontId="0" fillId="0" borderId="0" xfId="0" applyFill="1" applyBorder="1"/>
    <xf numFmtId="0" fontId="2" fillId="0" borderId="65" xfId="0" applyFont="1" applyBorder="1"/>
    <xf numFmtId="0" fontId="0" fillId="0" borderId="63" xfId="0" applyBorder="1"/>
    <xf numFmtId="164" fontId="0" fillId="0" borderId="21" xfId="1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0" fillId="0" borderId="64" xfId="0" applyBorder="1"/>
    <xf numFmtId="0" fontId="0" fillId="0" borderId="21" xfId="0" applyBorder="1"/>
    <xf numFmtId="164" fontId="0" fillId="0" borderId="64" xfId="1" applyNumberFormat="1" applyFont="1" applyBorder="1" applyAlignment="1"/>
    <xf numFmtId="164" fontId="14" fillId="0" borderId="64" xfId="1" applyNumberFormat="1" applyFont="1" applyBorder="1" applyAlignment="1"/>
    <xf numFmtId="164" fontId="0" fillId="0" borderId="64" xfId="1" applyNumberFormat="1" applyFont="1" applyBorder="1" applyAlignment="1">
      <alignment horizontal="right"/>
    </xf>
    <xf numFmtId="164" fontId="0" fillId="0" borderId="64" xfId="0" applyNumberFormat="1" applyBorder="1"/>
    <xf numFmtId="0" fontId="0" fillId="0" borderId="65" xfId="0" applyBorder="1"/>
    <xf numFmtId="164" fontId="0" fillId="0" borderId="21" xfId="1" applyNumberFormat="1" applyFont="1" applyBorder="1" applyAlignment="1"/>
    <xf numFmtId="43" fontId="0" fillId="0" borderId="21" xfId="0" applyNumberFormat="1" applyBorder="1"/>
    <xf numFmtId="0" fontId="2" fillId="0" borderId="66" xfId="0" applyFont="1" applyBorder="1"/>
    <xf numFmtId="0" fontId="2" fillId="0" borderId="0" xfId="0" applyFont="1" applyBorder="1"/>
    <xf numFmtId="164" fontId="2" fillId="0" borderId="4" xfId="1" applyNumberFormat="1" applyFont="1" applyBorder="1"/>
    <xf numFmtId="0" fontId="11" fillId="0" borderId="26" xfId="0" applyFont="1" applyBorder="1"/>
    <xf numFmtId="43" fontId="11" fillId="0" borderId="26" xfId="0" applyNumberFormat="1" applyFont="1" applyBorder="1"/>
    <xf numFmtId="164" fontId="11" fillId="0" borderId="26" xfId="0" applyNumberFormat="1" applyFont="1" applyBorder="1"/>
    <xf numFmtId="43" fontId="11" fillId="0" borderId="68" xfId="0" applyNumberFormat="1" applyFont="1" applyBorder="1"/>
    <xf numFmtId="0" fontId="11" fillId="0" borderId="67" xfId="0" applyFont="1" applyBorder="1"/>
    <xf numFmtId="0" fontId="11" fillId="0" borderId="66" xfId="0" applyFont="1" applyBorder="1"/>
    <xf numFmtId="0" fontId="11" fillId="0" borderId="0" xfId="0" applyFont="1" applyBorder="1"/>
    <xf numFmtId="164" fontId="11" fillId="0" borderId="13" xfId="0" applyNumberFormat="1" applyFont="1" applyBorder="1"/>
    <xf numFmtId="164" fontId="11" fillId="0" borderId="13" xfId="1" applyNumberFormat="1" applyFont="1" applyBorder="1"/>
    <xf numFmtId="0" fontId="0" fillId="0" borderId="6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11" fillId="0" borderId="14" xfId="0" applyFont="1" applyBorder="1"/>
    <xf numFmtId="164" fontId="0" fillId="0" borderId="14" xfId="1" applyNumberFormat="1" applyFont="1" applyFill="1" applyBorder="1"/>
    <xf numFmtId="164" fontId="11" fillId="0" borderId="3" xfId="1" applyNumberFormat="1" applyFont="1" applyBorder="1"/>
    <xf numFmtId="164" fontId="11" fillId="0" borderId="2" xfId="1" applyNumberFormat="1" applyFont="1" applyBorder="1"/>
    <xf numFmtId="164" fontId="0" fillId="0" borderId="14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0" xfId="1" applyNumberFormat="1" applyFont="1" applyFill="1" applyBorder="1"/>
    <xf numFmtId="44" fontId="0" fillId="0" borderId="0" xfId="5" applyFont="1"/>
    <xf numFmtId="0" fontId="0" fillId="0" borderId="0" xfId="0" applyFont="1" applyFill="1" applyBorder="1"/>
    <xf numFmtId="0" fontId="0" fillId="0" borderId="66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0" fillId="0" borderId="14" xfId="1" applyNumberFormat="1" applyFont="1" applyFill="1" applyBorder="1" applyAlignment="1">
      <alignment horizontal="right"/>
    </xf>
    <xf numFmtId="0" fontId="14" fillId="0" borderId="0" xfId="0" applyFont="1" applyBorder="1"/>
    <xf numFmtId="164" fontId="14" fillId="0" borderId="14" xfId="1" applyNumberFormat="1" applyFont="1" applyFill="1" applyBorder="1"/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0" xfId="0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/>
    </xf>
    <xf numFmtId="165" fontId="14" fillId="0" borderId="0" xfId="0" applyNumberFormat="1" applyFont="1"/>
    <xf numFmtId="43" fontId="14" fillId="0" borderId="0" xfId="0" applyNumberFormat="1" applyFont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5" xfId="0" applyBorder="1" applyAlignment="1">
      <alignment horizontal="center" wrapText="1"/>
    </xf>
    <xf numFmtId="164" fontId="0" fillId="0" borderId="21" xfId="1" applyNumberFormat="1" applyFont="1" applyBorder="1"/>
    <xf numFmtId="0" fontId="12" fillId="0" borderId="2" xfId="0" applyFont="1" applyBorder="1" applyAlignment="1">
      <alignment horizontal="center" wrapText="1"/>
    </xf>
    <xf numFmtId="164" fontId="0" fillId="0" borderId="14" xfId="1" applyNumberFormat="1" applyFont="1" applyFill="1" applyBorder="1" applyAlignment="1">
      <alignment vertical="center"/>
    </xf>
    <xf numFmtId="43" fontId="0" fillId="0" borderId="14" xfId="1" applyFont="1" applyFill="1" applyBorder="1"/>
    <xf numFmtId="172" fontId="0" fillId="0" borderId="0" xfId="0" applyNumberFormat="1" applyFill="1"/>
    <xf numFmtId="0" fontId="11" fillId="0" borderId="0" xfId="0" applyFont="1" applyFill="1" applyAlignment="1">
      <alignment horizontal="center"/>
    </xf>
    <xf numFmtId="164" fontId="0" fillId="0" borderId="14" xfId="0" applyNumberFormat="1" applyFill="1" applyBorder="1"/>
    <xf numFmtId="164" fontId="0" fillId="19" borderId="14" xfId="1" applyNumberFormat="1" applyFont="1" applyFill="1" applyBorder="1" applyAlignment="1">
      <alignment horizontal="right"/>
    </xf>
    <xf numFmtId="164" fontId="0" fillId="19" borderId="14" xfId="1" applyNumberFormat="1" applyFont="1" applyFill="1" applyBorder="1" applyAlignment="1"/>
    <xf numFmtId="164" fontId="0" fillId="19" borderId="14" xfId="1" applyNumberFormat="1" applyFont="1" applyFill="1" applyBorder="1" applyAlignment="1">
      <alignment horizontal="center"/>
    </xf>
    <xf numFmtId="164" fontId="0" fillId="0" borderId="64" xfId="1" applyNumberFormat="1" applyFont="1" applyFill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164" fontId="0" fillId="19" borderId="14" xfId="1" applyNumberFormat="1" applyFont="1" applyFill="1" applyBorder="1"/>
    <xf numFmtId="0" fontId="2" fillId="0" borderId="66" xfId="0" applyFont="1" applyFill="1" applyBorder="1"/>
    <xf numFmtId="3" fontId="0" fillId="19" borderId="66" xfId="0" applyNumberFormat="1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43" fontId="0" fillId="0" borderId="14" xfId="1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0" borderId="2" xfId="1" applyNumberFormat="1" applyFont="1" applyBorder="1"/>
    <xf numFmtId="164" fontId="38" fillId="0" borderId="3" xfId="1" applyNumberFormat="1" applyFont="1" applyBorder="1"/>
    <xf numFmtId="164" fontId="38" fillId="0" borderId="2" xfId="1" applyNumberFormat="1" applyFont="1" applyBorder="1"/>
    <xf numFmtId="164" fontId="38" fillId="0" borderId="13" xfId="1" applyNumberFormat="1" applyFont="1" applyBorder="1"/>
    <xf numFmtId="164" fontId="38" fillId="0" borderId="0" xfId="1" applyNumberFormat="1" applyFont="1" applyBorder="1"/>
    <xf numFmtId="164" fontId="38" fillId="0" borderId="13" xfId="0" applyNumberFormat="1" applyFont="1" applyBorder="1"/>
    <xf numFmtId="44" fontId="12" fillId="0" borderId="76" xfId="0" applyNumberFormat="1" applyFont="1" applyBorder="1"/>
    <xf numFmtId="0" fontId="0" fillId="0" borderId="77" xfId="0" applyBorder="1"/>
    <xf numFmtId="164" fontId="0" fillId="3" borderId="77" xfId="1" applyNumberFormat="1" applyFont="1" applyFill="1" applyBorder="1"/>
    <xf numFmtId="0" fontId="0" fillId="19" borderId="77" xfId="0" applyFill="1" applyBorder="1"/>
    <xf numFmtId="43" fontId="0" fillId="0" borderId="77" xfId="0" applyNumberFormat="1" applyBorder="1"/>
    <xf numFmtId="164" fontId="0" fillId="19" borderId="77" xfId="1" applyNumberFormat="1" applyFont="1" applyFill="1" applyBorder="1"/>
    <xf numFmtId="164" fontId="0" fillId="0" borderId="77" xfId="1" applyNumberFormat="1" applyFont="1" applyFill="1" applyBorder="1"/>
    <xf numFmtId="165" fontId="39" fillId="0" borderId="0" xfId="0" applyNumberFormat="1" applyFont="1" applyFill="1"/>
    <xf numFmtId="0" fontId="0" fillId="0" borderId="3" xfId="0" applyBorder="1" applyAlignment="1">
      <alignment horizontal="center"/>
    </xf>
    <xf numFmtId="165" fontId="14" fillId="0" borderId="0" xfId="0" applyNumberFormat="1" applyFont="1" applyFill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164" fontId="14" fillId="0" borderId="64" xfId="1" applyNumberFormat="1" applyFont="1" applyFill="1" applyBorder="1"/>
    <xf numFmtId="164" fontId="11" fillId="0" borderId="68" xfId="0" applyNumberFormat="1" applyFont="1" applyBorder="1"/>
    <xf numFmtId="9" fontId="0" fillId="0" borderId="0" xfId="2" applyNumberFormat="1" applyFont="1"/>
    <xf numFmtId="43" fontId="0" fillId="0" borderId="0" xfId="0" applyNumberFormat="1" applyFill="1"/>
    <xf numFmtId="165" fontId="0" fillId="0" borderId="0" xfId="0" applyNumberFormat="1" applyFill="1"/>
    <xf numFmtId="0" fontId="14" fillId="0" borderId="0" xfId="0" applyFont="1" applyBorder="1" applyAlignment="1">
      <alignment horizontal="left" indent="11"/>
    </xf>
    <xf numFmtId="9" fontId="1" fillId="0" borderId="0" xfId="2" applyFont="1"/>
    <xf numFmtId="164" fontId="0" fillId="0" borderId="64" xfId="1" applyNumberFormat="1" applyFont="1" applyFill="1" applyBorder="1"/>
    <xf numFmtId="43" fontId="2" fillId="0" borderId="0" xfId="1" applyFont="1"/>
    <xf numFmtId="164" fontId="0" fillId="0" borderId="75" xfId="1" applyNumberFormat="1" applyFont="1" applyBorder="1" applyAlignment="1">
      <alignment horizontal="center"/>
    </xf>
    <xf numFmtId="164" fontId="0" fillId="0" borderId="75" xfId="1" applyNumberFormat="1" applyFont="1" applyBorder="1" applyAlignment="1"/>
    <xf numFmtId="43" fontId="0" fillId="19" borderId="14" xfId="1" applyFont="1" applyFill="1" applyBorder="1"/>
    <xf numFmtId="43" fontId="0" fillId="19" borderId="14" xfId="1" applyFont="1" applyFill="1" applyBorder="1" applyAlignment="1">
      <alignment vertical="center"/>
    </xf>
    <xf numFmtId="44" fontId="0" fillId="0" borderId="0" xfId="5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/>
    <xf numFmtId="0" fontId="42" fillId="0" borderId="0" xfId="0" applyFont="1"/>
    <xf numFmtId="0" fontId="14" fillId="0" borderId="0" xfId="0" applyFont="1" applyBorder="1" applyAlignment="1"/>
    <xf numFmtId="0" fontId="11" fillId="0" borderId="2" xfId="0" applyFont="1" applyBorder="1" applyAlignment="1">
      <alignment horizontal="center"/>
    </xf>
    <xf numFmtId="8" fontId="0" fillId="0" borderId="2" xfId="0" applyNumberFormat="1" applyFill="1" applyBorder="1"/>
    <xf numFmtId="8" fontId="0" fillId="0" borderId="2" xfId="0" applyNumberFormat="1" applyBorder="1"/>
    <xf numFmtId="0" fontId="0" fillId="0" borderId="2" xfId="0" applyFill="1" applyBorder="1"/>
    <xf numFmtId="0" fontId="0" fillId="0" borderId="2" xfId="0" applyFont="1" applyBorder="1"/>
    <xf numFmtId="0" fontId="0" fillId="0" borderId="2" xfId="0" quotePrefix="1" applyBorder="1"/>
    <xf numFmtId="164" fontId="0" fillId="0" borderId="2" xfId="1" applyNumberFormat="1" applyFont="1" applyBorder="1"/>
    <xf numFmtId="0" fontId="0" fillId="0" borderId="0" xfId="0" quotePrefix="1" applyBorder="1" applyAlignment="1"/>
    <xf numFmtId="0" fontId="0" fillId="5" borderId="75" xfId="0" applyFill="1" applyBorder="1"/>
    <xf numFmtId="0" fontId="0" fillId="5" borderId="64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73" xfId="0" applyFill="1" applyBorder="1"/>
    <xf numFmtId="0" fontId="1" fillId="5" borderId="78" xfId="2" applyNumberFormat="1" applyFont="1" applyFill="1" applyBorder="1"/>
    <xf numFmtId="0" fontId="0" fillId="5" borderId="26" xfId="0" applyFill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0" fillId="5" borderId="75" xfId="0" applyFill="1" applyBorder="1" applyAlignment="1">
      <alignment horizontal="center"/>
    </xf>
    <xf numFmtId="9" fontId="40" fillId="5" borderId="78" xfId="2" applyFont="1" applyFill="1" applyBorder="1"/>
    <xf numFmtId="172" fontId="0" fillId="0" borderId="0" xfId="0" applyNumberFormat="1" applyFill="1" applyBorder="1"/>
    <xf numFmtId="0" fontId="11" fillId="0" borderId="0" xfId="0" applyFont="1" applyFill="1" applyBorder="1" applyAlignment="1">
      <alignment horizontal="center"/>
    </xf>
    <xf numFmtId="174" fontId="0" fillId="0" borderId="0" xfId="0" applyNumberFormat="1" applyFill="1" applyBorder="1"/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43" fontId="0" fillId="0" borderId="0" xfId="1" applyFont="1" applyFill="1"/>
    <xf numFmtId="0" fontId="0" fillId="0" borderId="0" xfId="0" applyFont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164" fontId="0" fillId="0" borderId="2" xfId="0" applyNumberFormat="1" applyBorder="1"/>
    <xf numFmtId="0" fontId="0" fillId="0" borderId="2" xfId="0" quotePrefix="1" applyBorder="1" applyAlignment="1">
      <alignment horizontal="right" indent="1"/>
    </xf>
    <xf numFmtId="0" fontId="0" fillId="0" borderId="2" xfId="0" quotePrefix="1" applyBorder="1" applyAlignment="1">
      <alignment horizontal="right" indent="2"/>
    </xf>
    <xf numFmtId="0" fontId="0" fillId="0" borderId="2" xfId="0" applyBorder="1" applyAlignment="1">
      <alignment horizontal="center" vertical="center"/>
    </xf>
    <xf numFmtId="169" fontId="0" fillId="0" borderId="0" xfId="0" applyNumberFormat="1" applyFill="1"/>
    <xf numFmtId="9" fontId="0" fillId="0" borderId="0" xfId="2" applyFont="1" applyFill="1"/>
    <xf numFmtId="0" fontId="14" fillId="0" borderId="2" xfId="0" applyFont="1" applyBorder="1" applyAlignment="1">
      <alignment horizontal="center" vertical="center"/>
    </xf>
    <xf numFmtId="0" fontId="0" fillId="0" borderId="2" xfId="0" quotePrefix="1" applyFill="1" applyBorder="1" applyAlignment="1">
      <alignment horizontal="right" indent="11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right" indent="11"/>
    </xf>
    <xf numFmtId="164" fontId="0" fillId="0" borderId="2" xfId="1" applyNumberFormat="1" applyFont="1" applyFill="1" applyBorder="1"/>
    <xf numFmtId="0" fontId="0" fillId="19" borderId="0" xfId="0" applyFill="1"/>
    <xf numFmtId="0" fontId="0" fillId="19" borderId="1" xfId="0" applyFill="1" applyBorder="1"/>
    <xf numFmtId="9" fontId="0" fillId="0" borderId="0" xfId="0" applyNumberFormat="1" applyFill="1"/>
    <xf numFmtId="0" fontId="0" fillId="5" borderId="0" xfId="0" applyFill="1" applyAlignment="1">
      <alignment horizontal="left" indent="2"/>
    </xf>
    <xf numFmtId="0" fontId="21" fillId="5" borderId="0" xfId="6" applyFill="1" applyAlignment="1">
      <alignment horizontal="left" indent="2"/>
    </xf>
    <xf numFmtId="0" fontId="22" fillId="0" borderId="0" xfId="0" applyFont="1"/>
    <xf numFmtId="0" fontId="22" fillId="5" borderId="0" xfId="0" applyFont="1" applyFill="1" applyBorder="1"/>
    <xf numFmtId="0" fontId="12" fillId="5" borderId="0" xfId="0" applyFont="1" applyFill="1"/>
    <xf numFmtId="0" fontId="0" fillId="20" borderId="0" xfId="0" applyFill="1" applyAlignment="1">
      <alignment horizontal="center"/>
    </xf>
    <xf numFmtId="9" fontId="0" fillId="20" borderId="0" xfId="2" applyFont="1" applyFill="1"/>
    <xf numFmtId="164" fontId="0" fillId="0" borderId="0" xfId="0" applyNumberFormat="1" applyFill="1" applyBorder="1"/>
    <xf numFmtId="43" fontId="0" fillId="0" borderId="0" xfId="0" applyNumberFormat="1" applyFill="1" applyBorder="1"/>
    <xf numFmtId="0" fontId="0" fillId="0" borderId="2" xfId="0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Border="1"/>
    <xf numFmtId="0" fontId="43" fillId="0" borderId="0" xfId="0" applyFont="1" applyBorder="1"/>
    <xf numFmtId="164" fontId="38" fillId="0" borderId="14" xfId="1" applyNumberFormat="1" applyFont="1" applyFill="1" applyBorder="1"/>
    <xf numFmtId="0" fontId="38" fillId="0" borderId="14" xfId="0" applyFont="1" applyBorder="1" applyAlignment="1">
      <alignment horizontal="center"/>
    </xf>
    <xf numFmtId="178" fontId="38" fillId="0" borderId="14" xfId="1" applyNumberFormat="1" applyFont="1" applyBorder="1"/>
    <xf numFmtId="178" fontId="38" fillId="19" borderId="14" xfId="1" applyNumberFormat="1" applyFont="1" applyFill="1" applyBorder="1"/>
    <xf numFmtId="178" fontId="11" fillId="0" borderId="14" xfId="1" applyNumberFormat="1" applyFont="1" applyBorder="1" applyAlignment="1"/>
    <xf numFmtId="178" fontId="11" fillId="19" borderId="14" xfId="1" applyNumberFormat="1" applyFont="1" applyFill="1" applyBorder="1" applyAlignment="1"/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1" applyNumberFormat="1" applyFont="1" applyFill="1" applyBorder="1"/>
    <xf numFmtId="164" fontId="26" fillId="0" borderId="0" xfId="1" applyNumberFormat="1" applyFont="1"/>
    <xf numFmtId="164" fontId="44" fillId="0" borderId="0" xfId="1" applyNumberFormat="1" applyFont="1"/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0" fontId="0" fillId="3" borderId="0" xfId="0" applyFill="1"/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0" fillId="3" borderId="14" xfId="1" applyNumberFormat="1" applyFont="1" applyFill="1" applyBorder="1"/>
    <xf numFmtId="0" fontId="45" fillId="0" borderId="66" xfId="0" applyFont="1" applyBorder="1"/>
    <xf numFmtId="178" fontId="38" fillId="0" borderId="14" xfId="0" applyNumberFormat="1" applyFont="1" applyBorder="1"/>
    <xf numFmtId="9" fontId="0" fillId="3" borderId="0" xfId="2" applyFont="1" applyFill="1"/>
    <xf numFmtId="164" fontId="0" fillId="3" borderId="14" xfId="1" applyNumberFormat="1" applyFont="1" applyFill="1" applyBorder="1" applyAlignment="1">
      <alignment horizontal="right"/>
    </xf>
    <xf numFmtId="178" fontId="38" fillId="3" borderId="14" xfId="1" applyNumberFormat="1" applyFont="1" applyFill="1" applyBorder="1" applyAlignment="1">
      <alignment horizontal="right"/>
    </xf>
    <xf numFmtId="178" fontId="11" fillId="3" borderId="14" xfId="1" applyNumberFormat="1" applyFont="1" applyFill="1" applyBorder="1"/>
    <xf numFmtId="9" fontId="0" fillId="0" borderId="0" xfId="2" applyNumberFormat="1" applyFont="1" applyFill="1"/>
    <xf numFmtId="3" fontId="0" fillId="3" borderId="0" xfId="0" applyNumberFormat="1" applyFill="1"/>
    <xf numFmtId="3" fontId="0" fillId="0" borderId="0" xfId="0" applyNumberFormat="1"/>
    <xf numFmtId="0" fontId="0" fillId="20" borderId="0" xfId="0" applyFill="1"/>
    <xf numFmtId="9" fontId="0" fillId="0" borderId="26" xfId="2" applyNumberFormat="1" applyFont="1" applyBorder="1"/>
    <xf numFmtId="6" fontId="0" fillId="0" borderId="0" xfId="0" applyNumberFormat="1" applyAlignment="1">
      <alignment horizontal="center"/>
    </xf>
    <xf numFmtId="0" fontId="46" fillId="0" borderId="0" xfId="0" applyFont="1"/>
    <xf numFmtId="0" fontId="14" fillId="22" borderId="66" xfId="0" applyFont="1" applyFill="1" applyBorder="1" applyAlignment="1">
      <alignment horizontal="center"/>
    </xf>
    <xf numFmtId="174" fontId="0" fillId="22" borderId="66" xfId="0" applyNumberFormat="1" applyFill="1" applyBorder="1" applyAlignment="1">
      <alignment horizontal="center"/>
    </xf>
    <xf numFmtId="1" fontId="0" fillId="22" borderId="66" xfId="0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7" fillId="0" borderId="0" xfId="0" applyFont="1" applyAlignment="1">
      <alignment horizontal="center" wrapText="1"/>
    </xf>
    <xf numFmtId="164" fontId="14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Fill="1"/>
    <xf numFmtId="164" fontId="11" fillId="0" borderId="0" xfId="1" applyNumberFormat="1" applyFont="1" applyFill="1" applyBorder="1"/>
    <xf numFmtId="0" fontId="0" fillId="0" borderId="2" xfId="0" applyBorder="1" applyAlignment="1">
      <alignment horizontal="left" vertical="center"/>
    </xf>
    <xf numFmtId="43" fontId="0" fillId="0" borderId="0" xfId="0" applyNumberFormat="1" applyFont="1" applyFill="1"/>
    <xf numFmtId="169" fontId="0" fillId="0" borderId="0" xfId="0" applyNumberFormat="1" applyFont="1" applyFill="1"/>
    <xf numFmtId="169" fontId="0" fillId="0" borderId="73" xfId="1" applyNumberFormat="1" applyFont="1" applyBorder="1"/>
    <xf numFmtId="0" fontId="0" fillId="23" borderId="0" xfId="0" applyFill="1"/>
    <xf numFmtId="0" fontId="0" fillId="23" borderId="0" xfId="0" applyFill="1" applyAlignment="1">
      <alignment horizontal="center"/>
    </xf>
    <xf numFmtId="169" fontId="0" fillId="23" borderId="0" xfId="1" applyNumberFormat="1" applyFont="1" applyFill="1"/>
    <xf numFmtId="169" fontId="11" fillId="23" borderId="0" xfId="0" applyNumberFormat="1" applyFont="1" applyFill="1"/>
    <xf numFmtId="0" fontId="0" fillId="23" borderId="0" xfId="0" applyFont="1" applyFill="1" applyBorder="1" applyAlignment="1">
      <alignment vertical="center"/>
    </xf>
    <xf numFmtId="169" fontId="0" fillId="23" borderId="0" xfId="0" applyNumberFormat="1" applyFont="1" applyFill="1"/>
    <xf numFmtId="169" fontId="0" fillId="23" borderId="26" xfId="0" applyNumberFormat="1" applyFont="1" applyFill="1" applyBorder="1"/>
    <xf numFmtId="0" fontId="2" fillId="23" borderId="0" xfId="0" applyFont="1" applyFill="1"/>
    <xf numFmtId="169" fontId="0" fillId="23" borderId="26" xfId="0" applyNumberFormat="1" applyFill="1" applyBorder="1"/>
    <xf numFmtId="169" fontId="0" fillId="23" borderId="0" xfId="0" applyNumberFormat="1" applyFill="1"/>
    <xf numFmtId="169" fontId="0" fillId="23" borderId="26" xfId="1" applyNumberFormat="1" applyFont="1" applyFill="1" applyBorder="1"/>
    <xf numFmtId="169" fontId="0" fillId="21" borderId="0" xfId="1" applyNumberFormat="1" applyFont="1" applyFill="1"/>
    <xf numFmtId="170" fontId="1" fillId="0" borderId="0" xfId="2" applyNumberFormat="1" applyFont="1" applyFill="1" applyBorder="1"/>
    <xf numFmtId="0" fontId="11" fillId="23" borderId="0" xfId="0" applyFont="1" applyFill="1"/>
    <xf numFmtId="169" fontId="0" fillId="23" borderId="1" xfId="1" applyNumberFormat="1" applyFont="1" applyFill="1" applyBorder="1"/>
    <xf numFmtId="169" fontId="0" fillId="23" borderId="1" xfId="0" applyNumberFormat="1" applyFill="1" applyBorder="1"/>
    <xf numFmtId="169" fontId="0" fillId="23" borderId="27" xfId="0" applyNumberFormat="1" applyFill="1" applyBorder="1"/>
    <xf numFmtId="164" fontId="0" fillId="23" borderId="0" xfId="1" applyNumberFormat="1" applyFont="1" applyFill="1"/>
    <xf numFmtId="169" fontId="11" fillId="0" borderId="0" xfId="0" applyNumberFormat="1" applyFont="1" applyFill="1"/>
    <xf numFmtId="169" fontId="0" fillId="0" borderId="1" xfId="0" applyNumberFormat="1" applyFill="1" applyBorder="1"/>
    <xf numFmtId="0" fontId="14" fillId="0" borderId="0" xfId="0" applyFont="1"/>
    <xf numFmtId="0" fontId="14" fillId="0" borderId="0" xfId="0" applyFont="1" applyFill="1" applyAlignment="1">
      <alignment horizontal="left" indent="1"/>
    </xf>
    <xf numFmtId="0" fontId="0" fillId="23" borderId="79" xfId="0" applyFill="1" applyBorder="1"/>
    <xf numFmtId="164" fontId="0" fillId="0" borderId="2" xfId="1" applyNumberFormat="1" applyFont="1" applyFill="1" applyBorder="1" applyAlignment="1">
      <alignment vertical="center"/>
    </xf>
    <xf numFmtId="43" fontId="11" fillId="0" borderId="0" xfId="1" applyNumberFormat="1" applyFont="1" applyFill="1"/>
    <xf numFmtId="164" fontId="11" fillId="0" borderId="0" xfId="1" applyNumberFormat="1" applyFont="1" applyFill="1"/>
    <xf numFmtId="165" fontId="0" fillId="0" borderId="0" xfId="0" applyNumberForma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/>
    <xf numFmtId="0" fontId="0" fillId="0" borderId="0" xfId="0" quotePrefix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0" fillId="0" borderId="66" xfId="0" applyNumberFormat="1" applyFill="1" applyBorder="1"/>
    <xf numFmtId="0" fontId="11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4" borderId="0" xfId="0" applyFill="1"/>
    <xf numFmtId="166" fontId="0" fillId="4" borderId="0" xfId="0" applyNumberFormat="1" applyFill="1"/>
    <xf numFmtId="164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4" borderId="0" xfId="1" applyNumberFormat="1" applyFont="1" applyFill="1" applyBorder="1"/>
    <xf numFmtId="0" fontId="0" fillId="0" borderId="0" xfId="0" applyAlignment="1">
      <alignment horizontal="center"/>
    </xf>
    <xf numFmtId="43" fontId="2" fillId="0" borderId="0" xfId="0" applyNumberFormat="1" applyFont="1"/>
    <xf numFmtId="169" fontId="2" fillId="0" borderId="0" xfId="0" applyNumberFormat="1" applyFont="1"/>
    <xf numFmtId="1" fontId="0" fillId="0" borderId="0" xfId="0" applyNumberFormat="1"/>
    <xf numFmtId="180" fontId="0" fillId="0" borderId="0" xfId="0" applyNumberFormat="1"/>
    <xf numFmtId="0" fontId="14" fillId="3" borderId="0" xfId="0" applyFont="1" applyFill="1"/>
    <xf numFmtId="1" fontId="14" fillId="3" borderId="0" xfId="0" applyNumberFormat="1" applyFont="1" applyFill="1"/>
    <xf numFmtId="0" fontId="14" fillId="19" borderId="0" xfId="0" applyFont="1" applyFill="1"/>
    <xf numFmtId="164" fontId="8" fillId="3" borderId="0" xfId="1" applyNumberFormat="1" applyFont="1" applyFill="1"/>
    <xf numFmtId="168" fontId="8" fillId="3" borderId="21" xfId="0" applyNumberFormat="1" applyFont="1" applyFill="1" applyBorder="1" applyAlignment="1">
      <alignment horizontal="right"/>
    </xf>
    <xf numFmtId="168" fontId="8" fillId="3" borderId="22" xfId="0" applyNumberFormat="1" applyFont="1" applyFill="1" applyBorder="1" applyAlignment="1">
      <alignment horizontal="right"/>
    </xf>
    <xf numFmtId="10" fontId="8" fillId="3" borderId="21" xfId="2" applyNumberFormat="1" applyFont="1" applyFill="1" applyBorder="1" applyAlignment="1">
      <alignment horizontal="right"/>
    </xf>
    <xf numFmtId="10" fontId="8" fillId="3" borderId="22" xfId="2" applyNumberFormat="1" applyFont="1" applyFill="1" applyBorder="1" applyAlignment="1">
      <alignment horizontal="right"/>
    </xf>
    <xf numFmtId="168" fontId="8" fillId="3" borderId="24" xfId="0" applyNumberFormat="1" applyFont="1" applyFill="1" applyBorder="1" applyAlignment="1">
      <alignment horizontal="right"/>
    </xf>
    <xf numFmtId="168" fontId="8" fillId="3" borderId="25" xfId="0" applyNumberFormat="1" applyFont="1" applyFill="1" applyBorder="1" applyAlignment="1">
      <alignment horizontal="right"/>
    </xf>
    <xf numFmtId="167" fontId="8" fillId="3" borderId="2" xfId="0" applyNumberFormat="1" applyFont="1" applyFill="1" applyBorder="1" applyAlignment="1">
      <alignment horizontal="right" vertical="center" indent="2"/>
    </xf>
    <xf numFmtId="167" fontId="8" fillId="3" borderId="16" xfId="0" applyNumberFormat="1" applyFont="1" applyFill="1" applyBorder="1" applyAlignment="1">
      <alignment horizontal="right" vertical="center" indent="2"/>
    </xf>
    <xf numFmtId="167" fontId="8" fillId="3" borderId="18" xfId="0" applyNumberFormat="1" applyFont="1" applyFill="1" applyBorder="1" applyAlignment="1">
      <alignment horizontal="right" vertical="center" indent="2"/>
    </xf>
    <xf numFmtId="167" fontId="8" fillId="3" borderId="19" xfId="0" applyNumberFormat="1" applyFont="1" applyFill="1" applyBorder="1" applyAlignment="1">
      <alignment horizontal="right" vertical="center" indent="2"/>
    </xf>
    <xf numFmtId="0" fontId="8" fillId="3" borderId="66" xfId="0" applyFont="1" applyFill="1" applyBorder="1" applyAlignment="1">
      <alignment horizontal="center"/>
    </xf>
    <xf numFmtId="164" fontId="8" fillId="3" borderId="14" xfId="1" applyNumberFormat="1" applyFont="1" applyFill="1" applyBorder="1" applyAlignment="1">
      <alignment horizontal="right"/>
    </xf>
    <xf numFmtId="0" fontId="14" fillId="3" borderId="66" xfId="0" applyFont="1" applyFill="1" applyBorder="1" applyAlignment="1">
      <alignment horizontal="center"/>
    </xf>
    <xf numFmtId="164" fontId="14" fillId="3" borderId="77" xfId="1" applyNumberFormat="1" applyFont="1" applyFill="1" applyBorder="1"/>
    <xf numFmtId="164" fontId="14" fillId="19" borderId="77" xfId="1" applyNumberFormat="1" applyFont="1" applyFill="1" applyBorder="1"/>
    <xf numFmtId="165" fontId="14" fillId="0" borderId="77" xfId="0" applyNumberFormat="1" applyFont="1" applyBorder="1"/>
    <xf numFmtId="0" fontId="14" fillId="0" borderId="77" xfId="0" applyFont="1" applyBorder="1"/>
    <xf numFmtId="43" fontId="14" fillId="0" borderId="77" xfId="0" applyNumberFormat="1" applyFont="1" applyBorder="1"/>
    <xf numFmtId="164" fontId="14" fillId="3" borderId="14" xfId="1" applyNumberFormat="1" applyFont="1" applyFill="1" applyBorder="1"/>
    <xf numFmtId="164" fontId="14" fillId="3" borderId="14" xfId="1" applyNumberFormat="1" applyFont="1" applyFill="1" applyBorder="1" applyAlignment="1">
      <alignment horizontal="right"/>
    </xf>
    <xf numFmtId="164" fontId="14" fillId="3" borderId="66" xfId="0" applyNumberFormat="1" applyFont="1" applyFill="1" applyBorder="1" applyAlignment="1">
      <alignment horizontal="center"/>
    </xf>
    <xf numFmtId="0" fontId="14" fillId="19" borderId="77" xfId="0" applyFont="1" applyFill="1" applyBorder="1"/>
    <xf numFmtId="164" fontId="14" fillId="0" borderId="77" xfId="1" applyNumberFormat="1" applyFont="1" applyFill="1" applyBorder="1"/>
    <xf numFmtId="0" fontId="0" fillId="0" borderId="0" xfId="0" applyFill="1" applyAlignment="1"/>
    <xf numFmtId="164" fontId="14" fillId="0" borderId="14" xfId="1" applyNumberFormat="1" applyFont="1" applyBorder="1" applyAlignment="1">
      <alignment horizontal="right"/>
    </xf>
    <xf numFmtId="164" fontId="14" fillId="0" borderId="14" xfId="1" applyNumberFormat="1" applyFont="1" applyBorder="1" applyAlignment="1"/>
    <xf numFmtId="164" fontId="8" fillId="0" borderId="14" xfId="1" applyNumberFormat="1" applyFont="1" applyBorder="1" applyAlignment="1"/>
    <xf numFmtId="164" fontId="14" fillId="19" borderId="14" xfId="1" applyNumberFormat="1" applyFont="1" applyFill="1" applyBorder="1" applyAlignment="1">
      <alignment horizontal="right"/>
    </xf>
    <xf numFmtId="164" fontId="14" fillId="19" borderId="14" xfId="1" applyNumberFormat="1" applyFont="1" applyFill="1" applyBorder="1" applyAlignment="1"/>
    <xf numFmtId="0" fontId="14" fillId="0" borderId="0" xfId="0" applyFont="1" applyAlignment="1">
      <alignment horizontal="center"/>
    </xf>
    <xf numFmtId="10" fontId="8" fillId="0" borderId="0" xfId="2" applyNumberFormat="1" applyFont="1" applyFill="1"/>
    <xf numFmtId="1" fontId="14" fillId="3" borderId="66" xfId="0" applyNumberFormat="1" applyFont="1" applyFill="1" applyBorder="1" applyAlignment="1">
      <alignment horizontal="center"/>
    </xf>
    <xf numFmtId="0" fontId="14" fillId="0" borderId="14" xfId="0" applyFont="1" applyFill="1" applyBorder="1"/>
    <xf numFmtId="0" fontId="14" fillId="0" borderId="0" xfId="0" applyFont="1" applyAlignment="1"/>
    <xf numFmtId="0" fontId="14" fillId="0" borderId="75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48" fillId="0" borderId="2" xfId="0" applyFont="1" applyBorder="1" applyAlignment="1">
      <alignment horizontal="center" wrapText="1"/>
    </xf>
    <xf numFmtId="0" fontId="14" fillId="0" borderId="75" xfId="0" applyFont="1" applyBorder="1" applyAlignment="1">
      <alignment horizontal="center"/>
    </xf>
    <xf numFmtId="44" fontId="48" fillId="0" borderId="76" xfId="0" applyNumberFormat="1" applyFont="1" applyBorder="1"/>
    <xf numFmtId="164" fontId="14" fillId="0" borderId="14" xfId="1" applyNumberFormat="1" applyFont="1" applyBorder="1" applyAlignment="1">
      <alignment horizontal="center"/>
    </xf>
    <xf numFmtId="164" fontId="14" fillId="0" borderId="14" xfId="0" applyNumberFormat="1" applyFont="1" applyBorder="1"/>
    <xf numFmtId="164" fontId="14" fillId="19" borderId="14" xfId="1" applyNumberFormat="1" applyFont="1" applyFill="1" applyBorder="1" applyAlignment="1">
      <alignment horizontal="center"/>
    </xf>
    <xf numFmtId="164" fontId="14" fillId="0" borderId="64" xfId="1" applyNumberFormat="1" applyFont="1" applyFill="1" applyBorder="1" applyAlignment="1">
      <alignment horizontal="center"/>
    </xf>
    <xf numFmtId="0" fontId="14" fillId="0" borderId="64" xfId="0" applyFont="1" applyBorder="1"/>
    <xf numFmtId="164" fontId="14" fillId="0" borderId="21" xfId="1" applyNumberFormat="1" applyFont="1" applyFill="1" applyBorder="1" applyAlignment="1">
      <alignment horizontal="center"/>
    </xf>
    <xf numFmtId="0" fontId="14" fillId="0" borderId="21" xfId="0" applyFont="1" applyBorder="1"/>
    <xf numFmtId="164" fontId="14" fillId="0" borderId="64" xfId="1" applyNumberFormat="1" applyFont="1" applyBorder="1" applyAlignment="1">
      <alignment horizontal="right"/>
    </xf>
    <xf numFmtId="164" fontId="14" fillId="0" borderId="64" xfId="0" applyNumberFormat="1" applyFont="1" applyBorder="1"/>
    <xf numFmtId="164" fontId="14" fillId="0" borderId="75" xfId="1" applyNumberFormat="1" applyFont="1" applyBorder="1" applyAlignment="1"/>
    <xf numFmtId="164" fontId="14" fillId="0" borderId="21" xfId="1" applyNumberFormat="1" applyFont="1" applyBorder="1" applyAlignment="1"/>
    <xf numFmtId="43" fontId="14" fillId="0" borderId="21" xfId="0" applyNumberFormat="1" applyFont="1" applyBorder="1"/>
    <xf numFmtId="0" fontId="14" fillId="0" borderId="14" xfId="0" applyFont="1" applyBorder="1"/>
    <xf numFmtId="43" fontId="14" fillId="19" borderId="14" xfId="1" applyFont="1" applyFill="1" applyBorder="1"/>
    <xf numFmtId="164" fontId="14" fillId="0" borderId="14" xfId="0" applyNumberFormat="1" applyFont="1" applyFill="1" applyBorder="1"/>
    <xf numFmtId="164" fontId="14" fillId="0" borderId="14" xfId="1" applyNumberFormat="1" applyFont="1" applyFill="1" applyBorder="1" applyAlignment="1"/>
    <xf numFmtId="164" fontId="14" fillId="0" borderId="14" xfId="1" applyNumberFormat="1" applyFont="1" applyFill="1" applyBorder="1" applyAlignment="1">
      <alignment horizontal="right"/>
    </xf>
    <xf numFmtId="164" fontId="14" fillId="19" borderId="14" xfId="1" applyNumberFormat="1" applyFont="1" applyFill="1" applyBorder="1"/>
    <xf numFmtId="178" fontId="38" fillId="3" borderId="14" xfId="1" applyNumberFormat="1" applyFont="1" applyFill="1" applyBorder="1"/>
    <xf numFmtId="164" fontId="14" fillId="0" borderId="64" xfId="1" applyNumberFormat="1" applyFont="1" applyBorder="1"/>
    <xf numFmtId="164" fontId="13" fillId="0" borderId="2" xfId="1" applyNumberFormat="1" applyFont="1" applyBorder="1"/>
    <xf numFmtId="0" fontId="14" fillId="0" borderId="2" xfId="0" applyFont="1" applyBorder="1" applyAlignment="1">
      <alignment horizontal="center" wrapText="1"/>
    </xf>
    <xf numFmtId="174" fontId="14" fillId="0" borderId="14" xfId="0" applyNumberFormat="1" applyFont="1" applyBorder="1"/>
    <xf numFmtId="164" fontId="14" fillId="0" borderId="14" xfId="1" applyNumberFormat="1" applyFont="1" applyBorder="1"/>
    <xf numFmtId="164" fontId="14" fillId="0" borderId="0" xfId="0" applyNumberFormat="1" applyFont="1"/>
    <xf numFmtId="164" fontId="14" fillId="0" borderId="0" xfId="1" applyNumberFormat="1" applyFont="1" applyFill="1" applyBorder="1"/>
    <xf numFmtId="164" fontId="14" fillId="0" borderId="0" xfId="1" applyNumberFormat="1" applyFont="1" applyBorder="1"/>
    <xf numFmtId="164" fontId="14" fillId="0" borderId="13" xfId="1" applyNumberFormat="1" applyFont="1" applyBorder="1"/>
    <xf numFmtId="164" fontId="13" fillId="0" borderId="1" xfId="1" applyNumberFormat="1" applyFont="1" applyBorder="1"/>
    <xf numFmtId="164" fontId="13" fillId="0" borderId="4" xfId="1" applyNumberFormat="1" applyFont="1" applyBorder="1"/>
    <xf numFmtId="43" fontId="38" fillId="0" borderId="26" xfId="0" applyNumberFormat="1" applyFont="1" applyBorder="1"/>
    <xf numFmtId="43" fontId="38" fillId="0" borderId="68" xfId="0" applyNumberFormat="1" applyFont="1" applyBorder="1"/>
    <xf numFmtId="0" fontId="14" fillId="0" borderId="0" xfId="0" applyNumberFormat="1" applyFont="1"/>
    <xf numFmtId="164" fontId="14" fillId="0" borderId="26" xfId="1" applyNumberFormat="1" applyFont="1" applyBorder="1"/>
    <xf numFmtId="164" fontId="14" fillId="0" borderId="0" xfId="1" applyNumberFormat="1" applyFont="1" applyFill="1"/>
    <xf numFmtId="43" fontId="14" fillId="0" borderId="0" xfId="1" applyFont="1"/>
    <xf numFmtId="164" fontId="14" fillId="0" borderId="64" xfId="1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1" xfId="1" applyNumberFormat="1" applyFont="1" applyBorder="1"/>
    <xf numFmtId="0" fontId="38" fillId="0" borderId="14" xfId="0" applyFont="1" applyBorder="1"/>
    <xf numFmtId="0" fontId="38" fillId="0" borderId="0" xfId="0" applyFont="1" applyBorder="1"/>
    <xf numFmtId="0" fontId="13" fillId="0" borderId="0" xfId="0" applyFont="1" applyBorder="1"/>
    <xf numFmtId="0" fontId="38" fillId="0" borderId="26" xfId="0" applyFont="1" applyBorder="1"/>
    <xf numFmtId="164" fontId="38" fillId="0" borderId="26" xfId="0" applyNumberFormat="1" applyFont="1" applyBorder="1"/>
    <xf numFmtId="164" fontId="14" fillId="0" borderId="75" xfId="1" applyNumberFormat="1" applyFont="1" applyBorder="1" applyAlignment="1">
      <alignment horizontal="center"/>
    </xf>
    <xf numFmtId="164" fontId="14" fillId="19" borderId="14" xfId="1" applyNumberFormat="1" applyFont="1" applyFill="1" applyBorder="1" applyAlignment="1">
      <alignment vertical="center"/>
    </xf>
    <xf numFmtId="44" fontId="14" fillId="0" borderId="0" xfId="5" applyFont="1" applyFill="1"/>
    <xf numFmtId="164" fontId="38" fillId="0" borderId="68" xfId="0" applyNumberFormat="1" applyFont="1" applyBorder="1"/>
    <xf numFmtId="44" fontId="14" fillId="0" borderId="0" xfId="0" applyNumberFormat="1" applyFont="1"/>
    <xf numFmtId="174" fontId="14" fillId="3" borderId="66" xfId="0" applyNumberFormat="1" applyFont="1" applyFill="1" applyBorder="1" applyAlignment="1">
      <alignment horizontal="center"/>
    </xf>
    <xf numFmtId="43" fontId="14" fillId="0" borderId="14" xfId="1" applyFont="1" applyFill="1" applyBorder="1"/>
    <xf numFmtId="0" fontId="14" fillId="0" borderId="66" xfId="0" applyFont="1" applyBorder="1"/>
    <xf numFmtId="0" fontId="14" fillId="0" borderId="66" xfId="0" applyFont="1" applyFill="1" applyBorder="1" applyAlignment="1">
      <alignment horizontal="center"/>
    </xf>
    <xf numFmtId="3" fontId="14" fillId="3" borderId="0" xfId="0" applyNumberFormat="1" applyFont="1" applyFill="1"/>
    <xf numFmtId="0" fontId="14" fillId="0" borderId="0" xfId="0" applyFont="1" applyAlignment="1">
      <alignment horizontal="center" wrapText="1"/>
    </xf>
    <xf numFmtId="164" fontId="14" fillId="0" borderId="1" xfId="0" applyNumberFormat="1" applyFont="1" applyBorder="1"/>
    <xf numFmtId="0" fontId="38" fillId="0" borderId="0" xfId="0" applyFont="1"/>
    <xf numFmtId="14" fontId="14" fillId="0" borderId="0" xfId="0" applyNumberFormat="1" applyFont="1"/>
    <xf numFmtId="43" fontId="14" fillId="0" borderId="1" xfId="0" applyNumberFormat="1" applyFont="1" applyBorder="1"/>
    <xf numFmtId="0" fontId="38" fillId="0" borderId="0" xfId="0" applyFont="1" applyFill="1"/>
    <xf numFmtId="164" fontId="14" fillId="0" borderId="0" xfId="0" applyNumberFormat="1" applyFont="1" applyFill="1"/>
    <xf numFmtId="16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164" fontId="14" fillId="0" borderId="27" xfId="0" applyNumberFormat="1" applyFont="1" applyBorder="1"/>
    <xf numFmtId="9" fontId="0" fillId="0" borderId="0" xfId="2" applyFont="1" applyFill="1" applyBorder="1"/>
    <xf numFmtId="9" fontId="0" fillId="0" borderId="26" xfId="2" applyFont="1" applyFill="1" applyBorder="1"/>
    <xf numFmtId="0" fontId="13" fillId="0" borderId="0" xfId="0" applyFont="1" applyFill="1"/>
    <xf numFmtId="169" fontId="14" fillId="0" borderId="0" xfId="1" applyNumberFormat="1" applyFont="1" applyFill="1"/>
    <xf numFmtId="0" fontId="14" fillId="0" borderId="0" xfId="0" applyFont="1" applyFill="1" applyAlignment="1">
      <alignment horizontal="center"/>
    </xf>
    <xf numFmtId="169" fontId="14" fillId="0" borderId="0" xfId="0" applyNumberFormat="1" applyFont="1" applyFill="1"/>
    <xf numFmtId="169" fontId="14" fillId="0" borderId="1" xfId="1" applyNumberFormat="1" applyFont="1" applyFill="1" applyBorder="1"/>
    <xf numFmtId="169" fontId="14" fillId="0" borderId="1" xfId="0" applyNumberFormat="1" applyFont="1" applyFill="1" applyBorder="1"/>
    <xf numFmtId="169" fontId="14" fillId="0" borderId="27" xfId="0" applyNumberFormat="1" applyFont="1" applyFill="1" applyBorder="1"/>
    <xf numFmtId="0" fontId="38" fillId="0" borderId="0" xfId="0" quotePrefix="1" applyFont="1" applyFill="1"/>
    <xf numFmtId="0" fontId="0" fillId="0" borderId="0" xfId="0" applyAlignment="1">
      <alignment horizontal="center"/>
    </xf>
    <xf numFmtId="9" fontId="14" fillId="3" borderId="0" xfId="2" applyFont="1" applyFill="1"/>
    <xf numFmtId="179" fontId="0" fillId="0" borderId="0" xfId="0" applyNumberFormat="1" applyFill="1"/>
    <xf numFmtId="164" fontId="2" fillId="0" borderId="1" xfId="0" applyNumberFormat="1" applyFont="1" applyBorder="1"/>
    <xf numFmtId="164" fontId="2" fillId="24" borderId="1" xfId="1" applyNumberFormat="1" applyFont="1" applyFill="1" applyBorder="1"/>
    <xf numFmtId="164" fontId="2" fillId="24" borderId="1" xfId="0" applyNumberFormat="1" applyFont="1" applyFill="1" applyBorder="1"/>
    <xf numFmtId="164" fontId="14" fillId="20" borderId="77" xfId="1" applyNumberFormat="1" applyFont="1" applyFill="1" applyBorder="1"/>
    <xf numFmtId="164" fontId="0" fillId="20" borderId="77" xfId="1" applyNumberFormat="1" applyFont="1" applyFill="1" applyBorder="1"/>
    <xf numFmtId="0" fontId="0" fillId="0" borderId="0" xfId="0" applyAlignment="1">
      <alignment horizontal="center"/>
    </xf>
    <xf numFmtId="0" fontId="0" fillId="0" borderId="80" xfId="0" applyBorder="1"/>
    <xf numFmtId="0" fontId="0" fillId="0" borderId="81" xfId="0" applyBorder="1"/>
    <xf numFmtId="0" fontId="42" fillId="0" borderId="0" xfId="0" applyNumberFormat="1" applyFont="1" applyFill="1" applyAlignment="1">
      <alignment horizontal="center"/>
    </xf>
    <xf numFmtId="164" fontId="0" fillId="20" borderId="0" xfId="1" applyNumberFormat="1" applyFont="1" applyFill="1"/>
    <xf numFmtId="169" fontId="0" fillId="23" borderId="0" xfId="1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Fill="1" applyBorder="1" applyAlignment="1">
      <alignment horizontal="left" indent="10"/>
    </xf>
    <xf numFmtId="0" fontId="0" fillId="0" borderId="0" xfId="0" applyFill="1" applyBorder="1" applyAlignment="1">
      <alignment wrapText="1"/>
    </xf>
    <xf numFmtId="173" fontId="0" fillId="0" borderId="0" xfId="0" applyNumberFormat="1" applyFill="1"/>
    <xf numFmtId="0" fontId="46" fillId="0" borderId="2" xfId="0" applyFont="1" applyFill="1" applyBorder="1" applyAlignment="1">
      <alignment horizontal="center"/>
    </xf>
    <xf numFmtId="0" fontId="51" fillId="0" borderId="0" xfId="0" applyFont="1" applyFill="1"/>
    <xf numFmtId="164" fontId="2" fillId="0" borderId="27" xfId="0" applyNumberFormat="1" applyFont="1" applyBorder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 applyFill="1"/>
    <xf numFmtId="43" fontId="0" fillId="4" borderId="1" xfId="0" applyNumberFormat="1" applyFont="1" applyFill="1" applyBorder="1"/>
    <xf numFmtId="43" fontId="0" fillId="0" borderId="1" xfId="0" applyNumberFormat="1" applyFont="1" applyBorder="1"/>
    <xf numFmtId="169" fontId="0" fillId="0" borderId="0" xfId="0" applyNumberFormat="1" applyFill="1" applyAlignment="1">
      <alignment horizontal="center"/>
    </xf>
    <xf numFmtId="0" fontId="0" fillId="21" borderId="0" xfId="0" applyFill="1"/>
    <xf numFmtId="164" fontId="14" fillId="21" borderId="0" xfId="1" applyNumberFormat="1" applyFont="1" applyFill="1"/>
    <xf numFmtId="0" fontId="14" fillId="21" borderId="0" xfId="0" applyFont="1" applyFill="1"/>
    <xf numFmtId="164" fontId="14" fillId="21" borderId="0" xfId="0" applyNumberFormat="1" applyFont="1" applyFill="1"/>
    <xf numFmtId="164" fontId="0" fillId="21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4" fillId="3" borderId="0" xfId="1" applyNumberFormat="1" applyFont="1" applyFill="1"/>
    <xf numFmtId="10" fontId="0" fillId="0" borderId="0" xfId="2" applyNumberFormat="1" applyFont="1" applyFill="1" applyBorder="1"/>
    <xf numFmtId="164" fontId="0" fillId="25" borderId="0" xfId="1" applyNumberFormat="1" applyFont="1" applyFill="1"/>
    <xf numFmtId="0" fontId="12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Fill="1" applyBorder="1"/>
    <xf numFmtId="9" fontId="0" fillId="0" borderId="2" xfId="2" applyFont="1" applyBorder="1" applyAlignment="1">
      <alignment horizontal="center" vertical="center"/>
    </xf>
    <xf numFmtId="0" fontId="2" fillId="0" borderId="2" xfId="0" applyFont="1" applyBorder="1"/>
    <xf numFmtId="0" fontId="11" fillId="0" borderId="0" xfId="0" applyFont="1" applyFill="1" applyBorder="1"/>
    <xf numFmtId="43" fontId="0" fillId="0" borderId="0" xfId="1" applyNumberFormat="1" applyFont="1" applyFill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1" fillId="3" borderId="0" xfId="0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1" applyNumberFormat="1" applyFont="1" applyFill="1"/>
    <xf numFmtId="0" fontId="0" fillId="0" borderId="0" xfId="1" applyNumberFormat="1" applyFont="1"/>
    <xf numFmtId="0" fontId="0" fillId="0" borderId="0" xfId="0" applyNumberFormat="1" applyFill="1"/>
    <xf numFmtId="0" fontId="2" fillId="0" borderId="0" xfId="1" applyNumberFormat="1" applyFont="1"/>
    <xf numFmtId="0" fontId="0" fillId="0" borderId="0" xfId="1" applyNumberFormat="1" applyFont="1" applyAlignment="1">
      <alignment horizontal="left" indent="1"/>
    </xf>
    <xf numFmtId="0" fontId="0" fillId="0" borderId="0" xfId="0" applyNumberFormat="1"/>
    <xf numFmtId="0" fontId="14" fillId="3" borderId="66" xfId="0" applyFont="1" applyFill="1" applyBorder="1" applyAlignment="1">
      <alignment horizontal="center" vertical="center"/>
    </xf>
    <xf numFmtId="0" fontId="38" fillId="3" borderId="66" xfId="0" applyFont="1" applyFill="1" applyBorder="1" applyAlignment="1">
      <alignment horizontal="center"/>
    </xf>
    <xf numFmtId="164" fontId="2" fillId="0" borderId="2" xfId="0" applyNumberFormat="1" applyFont="1" applyBorder="1"/>
    <xf numFmtId="0" fontId="0" fillId="0" borderId="0" xfId="0" applyFill="1" applyAlignment="1">
      <alignment horizontal="center" wrapText="1"/>
    </xf>
    <xf numFmtId="0" fontId="47" fillId="0" borderId="0" xfId="0" applyFont="1"/>
    <xf numFmtId="169" fontId="20" fillId="0" borderId="0" xfId="0" applyNumberFormat="1" applyFont="1"/>
    <xf numFmtId="169" fontId="14" fillId="0" borderId="0" xfId="0" applyNumberFormat="1" applyFont="1" applyAlignment="1">
      <alignment horizontal="center" wrapText="1"/>
    </xf>
    <xf numFmtId="169" fontId="14" fillId="0" borderId="0" xfId="1" applyNumberFormat="1" applyFont="1"/>
    <xf numFmtId="169" fontId="14" fillId="0" borderId="1" xfId="0" applyNumberFormat="1" applyFont="1" applyBorder="1"/>
    <xf numFmtId="169" fontId="38" fillId="0" borderId="0" xfId="0" applyNumberFormat="1" applyFont="1"/>
    <xf numFmtId="169" fontId="14" fillId="0" borderId="0" xfId="0" applyNumberFormat="1" applyFont="1"/>
    <xf numFmtId="169" fontId="38" fillId="0" borderId="0" xfId="0" applyNumberFormat="1" applyFont="1" applyFill="1"/>
    <xf numFmtId="169" fontId="29" fillId="0" borderId="0" xfId="0" applyNumberFormat="1" applyFont="1"/>
    <xf numFmtId="169" fontId="41" fillId="0" borderId="0" xfId="0" applyNumberFormat="1" applyFont="1" applyFill="1"/>
    <xf numFmtId="43" fontId="14" fillId="0" borderId="14" xfId="1" applyNumberFormat="1" applyFont="1" applyFill="1" applyBorder="1"/>
    <xf numFmtId="43" fontId="0" fillId="0" borderId="14" xfId="1" applyNumberFormat="1" applyFont="1" applyFill="1" applyBorder="1"/>
    <xf numFmtId="9" fontId="14" fillId="0" borderId="0" xfId="2" applyFont="1"/>
    <xf numFmtId="174" fontId="8" fillId="0" borderId="0" xfId="0" applyNumberFormat="1" applyFont="1"/>
    <xf numFmtId="43" fontId="0" fillId="0" borderId="0" xfId="1" applyFont="1" applyAlignment="1">
      <alignment horizontal="center"/>
    </xf>
    <xf numFmtId="168" fontId="0" fillId="3" borderId="0" xfId="0" applyNumberFormat="1" applyFill="1"/>
    <xf numFmtId="168" fontId="14" fillId="0" borderId="1" xfId="0" applyNumberFormat="1" applyFont="1" applyFill="1" applyBorder="1"/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169" fontId="0" fillId="0" borderId="0" xfId="0" applyNumberFormat="1" applyFill="1" applyBorder="1"/>
    <xf numFmtId="169" fontId="0" fillId="0" borderId="0" xfId="1" quotePrefix="1" applyNumberFormat="1" applyFont="1"/>
    <xf numFmtId="169" fontId="0" fillId="0" borderId="26" xfId="1" quotePrefix="1" applyNumberFormat="1" applyFont="1" applyBorder="1"/>
    <xf numFmtId="0" fontId="52" fillId="0" borderId="0" xfId="0" applyFont="1" applyFill="1"/>
    <xf numFmtId="165" fontId="2" fillId="0" borderId="1" xfId="0" applyNumberFormat="1" applyFont="1" applyBorder="1"/>
    <xf numFmtId="164" fontId="2" fillId="0" borderId="26" xfId="1" applyNumberFormat="1" applyFont="1" applyFill="1" applyBorder="1"/>
    <xf numFmtId="164" fontId="2" fillId="0" borderId="26" xfId="0" applyNumberFormat="1" applyFont="1" applyBorder="1"/>
    <xf numFmtId="164" fontId="2" fillId="25" borderId="1" xfId="1" applyNumberFormat="1" applyFont="1" applyFill="1" applyBorder="1"/>
    <xf numFmtId="169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0" borderId="2" xfId="0" applyFont="1" applyFill="1" applyBorder="1"/>
    <xf numFmtId="43" fontId="0" fillId="0" borderId="2" xfId="1" applyNumberFormat="1" applyFont="1" applyFill="1" applyBorder="1"/>
    <xf numFmtId="16" fontId="0" fillId="0" borderId="0" xfId="0" applyNumberFormat="1" applyFill="1" applyAlignment="1">
      <alignment horizontal="center"/>
    </xf>
    <xf numFmtId="174" fontId="0" fillId="0" borderId="66" xfId="0" applyNumberFormat="1" applyFill="1" applyBorder="1" applyAlignment="1">
      <alignment horizontal="center"/>
    </xf>
    <xf numFmtId="14" fontId="14" fillId="3" borderId="0" xfId="0" applyNumberFormat="1" applyFont="1" applyFill="1"/>
    <xf numFmtId="181" fontId="0" fillId="0" borderId="0" xfId="5" applyNumberFormat="1" applyFont="1" applyFill="1"/>
    <xf numFmtId="164" fontId="0" fillId="21" borderId="2" xfId="1" applyNumberFormat="1" applyFont="1" applyFill="1" applyBorder="1" applyAlignment="1">
      <alignment vertical="center"/>
    </xf>
    <xf numFmtId="0" fontId="2" fillId="0" borderId="0" xfId="0" applyFont="1" applyFill="1" applyBorder="1"/>
    <xf numFmtId="9" fontId="0" fillId="3" borderId="0" xfId="0" applyNumberFormat="1" applyFill="1"/>
    <xf numFmtId="43" fontId="0" fillId="3" borderId="14" xfId="1" applyFont="1" applyFill="1" applyBorder="1"/>
    <xf numFmtId="0" fontId="0" fillId="0" borderId="66" xfId="0" applyFill="1" applyBorder="1"/>
    <xf numFmtId="0" fontId="14" fillId="26" borderId="0" xfId="0" applyFont="1" applyFill="1"/>
    <xf numFmtId="0" fontId="0" fillId="26" borderId="0" xfId="0" applyFill="1"/>
    <xf numFmtId="164" fontId="1" fillId="0" borderId="0" xfId="1" applyNumberFormat="1" applyFont="1" applyFill="1"/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164" fontId="0" fillId="25" borderId="26" xfId="1" applyNumberFormat="1" applyFont="1" applyFill="1" applyBorder="1"/>
    <xf numFmtId="0" fontId="53" fillId="0" borderId="0" xfId="0" applyFont="1"/>
    <xf numFmtId="0" fontId="2" fillId="0" borderId="21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9" fontId="11" fillId="0" borderId="0" xfId="2" applyFont="1"/>
    <xf numFmtId="43" fontId="0" fillId="0" borderId="2" xfId="1" applyNumberFormat="1" applyFont="1" applyBorder="1"/>
    <xf numFmtId="43" fontId="2" fillId="0" borderId="2" xfId="0" applyNumberFormat="1" applyFont="1" applyBorder="1"/>
    <xf numFmtId="169" fontId="0" fillId="0" borderId="0" xfId="0" applyNumberFormat="1" applyFill="1" applyBorder="1" applyAlignment="1">
      <alignment horizontal="center"/>
    </xf>
    <xf numFmtId="164" fontId="14" fillId="2" borderId="14" xfId="1" applyNumberFormat="1" applyFont="1" applyFill="1" applyBorder="1" applyAlignment="1">
      <alignment horizontal="right"/>
    </xf>
    <xf numFmtId="164" fontId="14" fillId="2" borderId="14" xfId="0" applyNumberFormat="1" applyFont="1" applyFill="1" applyBorder="1"/>
    <xf numFmtId="164" fontId="14" fillId="2" borderId="14" xfId="1" applyNumberFormat="1" applyFont="1" applyFill="1" applyBorder="1" applyAlignment="1"/>
    <xf numFmtId="164" fontId="14" fillId="2" borderId="14" xfId="1" applyNumberFormat="1" applyFont="1" applyFill="1" applyBorder="1"/>
    <xf numFmtId="164" fontId="14" fillId="2" borderId="77" xfId="1" applyNumberFormat="1" applyFont="1" applyFill="1" applyBorder="1"/>
    <xf numFmtId="164" fontId="0" fillId="2" borderId="0" xfId="0" applyNumberFormat="1" applyFill="1"/>
    <xf numFmtId="0" fontId="16" fillId="2" borderId="0" xfId="0" applyFont="1" applyFill="1" applyAlignment="1">
      <alignment horizontal="center"/>
    </xf>
    <xf numFmtId="164" fontId="14" fillId="2" borderId="14" xfId="0" applyNumberFormat="1" applyFont="1" applyFill="1" applyBorder="1" applyAlignment="1">
      <alignment vertical="center"/>
    </xf>
    <xf numFmtId="164" fontId="0" fillId="2" borderId="14" xfId="1" applyNumberFormat="1" applyFont="1" applyFill="1" applyBorder="1"/>
    <xf numFmtId="164" fontId="0" fillId="2" borderId="77" xfId="1" applyNumberFormat="1" applyFont="1" applyFill="1" applyBorder="1"/>
    <xf numFmtId="9" fontId="0" fillId="2" borderId="0" xfId="2" applyFont="1" applyFill="1"/>
    <xf numFmtId="164" fontId="0" fillId="2" borderId="14" xfId="0" applyNumberFormat="1" applyFill="1" applyBorder="1"/>
    <xf numFmtId="164" fontId="0" fillId="2" borderId="14" xfId="1" applyNumberFormat="1" applyFont="1" applyFill="1" applyBorder="1" applyAlignment="1">
      <alignment horizontal="right"/>
    </xf>
    <xf numFmtId="164" fontId="8" fillId="2" borderId="14" xfId="1" applyNumberFormat="1" applyFont="1" applyFill="1" applyBorder="1" applyAlignment="1">
      <alignment horizontal="right"/>
    </xf>
    <xf numFmtId="164" fontId="8" fillId="2" borderId="14" xfId="1" applyNumberFormat="1" applyFont="1" applyFill="1" applyBorder="1"/>
    <xf numFmtId="164" fontId="0" fillId="2" borderId="14" xfId="1" applyNumberFormat="1" applyFont="1" applyFill="1" applyBorder="1" applyAlignment="1"/>
    <xf numFmtId="164" fontId="0" fillId="2" borderId="14" xfId="0" applyNumberFormat="1" applyFill="1" applyBorder="1" applyAlignment="1">
      <alignment vertical="center"/>
    </xf>
    <xf numFmtId="0" fontId="24" fillId="7" borderId="0" xfId="0" applyFont="1" applyFill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75" xfId="1" applyNumberFormat="1" applyFont="1" applyFill="1" applyBorder="1" applyAlignment="1">
      <alignment horizontal="right" vertical="center"/>
    </xf>
    <xf numFmtId="164" fontId="0" fillId="0" borderId="64" xfId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3" fontId="0" fillId="2" borderId="0" xfId="0" applyNumberFormat="1" applyFill="1"/>
    <xf numFmtId="3" fontId="14" fillId="2" borderId="0" xfId="0" applyNumberFormat="1" applyFont="1" applyFill="1"/>
    <xf numFmtId="164" fontId="0" fillId="2" borderId="2" xfId="1" applyNumberFormat="1" applyFont="1" applyFill="1" applyBorder="1"/>
    <xf numFmtId="164" fontId="14" fillId="2" borderId="2" xfId="1" applyNumberFormat="1" applyFont="1" applyFill="1" applyBorder="1"/>
    <xf numFmtId="43" fontId="0" fillId="2" borderId="2" xfId="1" applyNumberFormat="1" applyFont="1" applyFill="1" applyBorder="1"/>
    <xf numFmtId="164" fontId="0" fillId="2" borderId="2" xfId="0" applyNumberFormat="1" applyFill="1" applyBorder="1"/>
    <xf numFmtId="43" fontId="0" fillId="2" borderId="0" xfId="1" applyFont="1" applyFill="1"/>
  </cellXfs>
  <cellStyles count="106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Blockout" xfId="19"/>
    <cellStyle name="Blockout 2" xfId="20"/>
    <cellStyle name="Blockout 3" xfId="21"/>
    <cellStyle name="Calculation 2" xfId="22"/>
    <cellStyle name="Comma" xfId="1" builtinId="3"/>
    <cellStyle name="Comma 2" xfId="23"/>
    <cellStyle name="Comma 2 2" xfId="24"/>
    <cellStyle name="Comma 2 3" xfId="25"/>
    <cellStyle name="Comma 2 3 2" xfId="26"/>
    <cellStyle name="Comma 2 3 3" xfId="27"/>
    <cellStyle name="Comma 2 3 4" xfId="28"/>
    <cellStyle name="Comma 2 4" xfId="29"/>
    <cellStyle name="Comma 2 5" xfId="30"/>
    <cellStyle name="Comma 3" xfId="31"/>
    <cellStyle name="Comma 3 2" xfId="32"/>
    <cellStyle name="Currency" xfId="5" builtinId="4"/>
    <cellStyle name="Hyperlink" xfId="6" builtinId="8"/>
    <cellStyle name="Hyperlink 2" xfId="33"/>
    <cellStyle name="Hyperlink 2 2" xfId="34"/>
    <cellStyle name="Hyperlink 2 3" xfId="35"/>
    <cellStyle name="Input 2" xfId="36"/>
    <cellStyle name="Input1" xfId="37"/>
    <cellStyle name="Input1 2" xfId="38"/>
    <cellStyle name="Input1 2 2" xfId="39"/>
    <cellStyle name="Input1 3" xfId="40"/>
    <cellStyle name="Input1 3 2" xfId="41"/>
    <cellStyle name="Input1 4" xfId="42"/>
    <cellStyle name="Input1 5" xfId="43"/>
    <cellStyle name="Input1 6" xfId="44"/>
    <cellStyle name="Input1 7" xfId="45"/>
    <cellStyle name="Input1 7 2" xfId="46"/>
    <cellStyle name="Input2" xfId="47"/>
    <cellStyle name="Input2 2" xfId="48"/>
    <cellStyle name="Input2 3" xfId="49"/>
    <cellStyle name="Input3" xfId="50"/>
    <cellStyle name="Input3 2" xfId="51"/>
    <cellStyle name="Input3 3" xfId="52"/>
    <cellStyle name="Normal" xfId="0" builtinId="0"/>
    <cellStyle name="Normal 10" xfId="53"/>
    <cellStyle name="Normal 11" xfId="54"/>
    <cellStyle name="Normal 114" xfId="3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19 2" xfId="63"/>
    <cellStyle name="Normal 2" xfId="64"/>
    <cellStyle name="Normal 2 2" xfId="65"/>
    <cellStyle name="Normal 2 2 2" xfId="66"/>
    <cellStyle name="Normal 2 2 2 2" xfId="67"/>
    <cellStyle name="Normal 2 2 3" xfId="68"/>
    <cellStyle name="Normal 2 3" xfId="69"/>
    <cellStyle name="Normal 3" xfId="70"/>
    <cellStyle name="Normal 3 2" xfId="71"/>
    <cellStyle name="Normal 3 3" xfId="72"/>
    <cellStyle name="Normal 4" xfId="73"/>
    <cellStyle name="Normal 4 2" xfId="74"/>
    <cellStyle name="Normal 4 3" xfId="75"/>
    <cellStyle name="Normal 4 4" xfId="76"/>
    <cellStyle name="Normal 4 5" xfId="77"/>
    <cellStyle name="Normal 4 5 2" xfId="78"/>
    <cellStyle name="Normal 4 5 3" xfId="79"/>
    <cellStyle name="Normal 5" xfId="80"/>
    <cellStyle name="Normal 6" xfId="81"/>
    <cellStyle name="Normal 7" xfId="82"/>
    <cellStyle name="Normal 8" xfId="83"/>
    <cellStyle name="Normal 9" xfId="84"/>
    <cellStyle name="Normal_20090617 - RIN - justifications 2" xfId="4"/>
    <cellStyle name="Note 2" xfId="85"/>
    <cellStyle name="Note 2 2" xfId="86"/>
    <cellStyle name="Note 3" xfId="87"/>
    <cellStyle name="Note 4" xfId="88"/>
    <cellStyle name="Output 2" xfId="89"/>
    <cellStyle name="Percent" xfId="2" builtinId="5"/>
    <cellStyle name="Percent 2" xfId="90"/>
    <cellStyle name="Style 1" xfId="91"/>
    <cellStyle name="Style 1 2" xfId="92"/>
    <cellStyle name="Style 1 2 2" xfId="93"/>
    <cellStyle name="Style 1 3" xfId="94"/>
    <cellStyle name="Style 1 3 2" xfId="95"/>
    <cellStyle name="Style 1 3 3" xfId="96"/>
    <cellStyle name="Style 1 4" xfId="97"/>
    <cellStyle name="Style 1 4 2" xfId="98"/>
    <cellStyle name="Style 1 4 3" xfId="99"/>
    <cellStyle name="Style 1 5" xfId="100"/>
    <cellStyle name="Style 1 6" xfId="101"/>
    <cellStyle name="Style 1 7" xfId="102"/>
    <cellStyle name="Style 1 8" xfId="103"/>
    <cellStyle name="Style 1 8 2" xfId="104"/>
    <cellStyle name="Total 2" xfId="10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1268356</xdr:colOff>
      <xdr:row>4</xdr:row>
      <xdr:rowOff>65537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0"/>
          <a:ext cx="1268356" cy="797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F50"/>
  <sheetViews>
    <sheetView tabSelected="1" zoomScaleNormal="100" workbookViewId="0">
      <selection activeCell="B7" sqref="B7"/>
    </sheetView>
  </sheetViews>
  <sheetFormatPr defaultColWidth="8.85546875" defaultRowHeight="15" x14ac:dyDescent="0.25"/>
  <cols>
    <col min="1" max="1" width="4" style="70" customWidth="1"/>
    <col min="2" max="2" width="32" style="70" customWidth="1"/>
    <col min="3" max="16384" width="8.85546875" style="70"/>
  </cols>
  <sheetData>
    <row r="6" spans="2:6" ht="18.75" x14ac:dyDescent="0.3">
      <c r="B6" s="74" t="s">
        <v>633</v>
      </c>
    </row>
    <row r="7" spans="2:6" ht="18.75" x14ac:dyDescent="0.3">
      <c r="B7" s="74" t="s">
        <v>731</v>
      </c>
    </row>
    <row r="8" spans="2:6" x14ac:dyDescent="0.25">
      <c r="B8" s="386"/>
    </row>
    <row r="9" spans="2:6" x14ac:dyDescent="0.25">
      <c r="B9" s="385" t="s">
        <v>423</v>
      </c>
      <c r="F9" s="198" t="s">
        <v>128</v>
      </c>
    </row>
    <row r="10" spans="2:6" ht="8.4499999999999993" customHeight="1" x14ac:dyDescent="0.25">
      <c r="B10" s="384"/>
      <c r="F10" s="75"/>
    </row>
    <row r="11" spans="2:6" x14ac:dyDescent="0.25">
      <c r="B11" s="127" t="s">
        <v>100</v>
      </c>
      <c r="F11" s="127" t="s">
        <v>79</v>
      </c>
    </row>
    <row r="12" spans="2:6" x14ac:dyDescent="0.25">
      <c r="B12" s="127" t="s">
        <v>424</v>
      </c>
      <c r="F12" s="127" t="s">
        <v>150</v>
      </c>
    </row>
    <row r="13" spans="2:6" x14ac:dyDescent="0.25">
      <c r="B13" s="127" t="s">
        <v>421</v>
      </c>
      <c r="F13" s="127" t="s">
        <v>217</v>
      </c>
    </row>
    <row r="14" spans="2:6" x14ac:dyDescent="0.25">
      <c r="B14" s="127" t="s">
        <v>422</v>
      </c>
      <c r="F14" s="73"/>
    </row>
    <row r="15" spans="2:6" x14ac:dyDescent="0.25">
      <c r="B15" s="127" t="s">
        <v>401</v>
      </c>
    </row>
    <row r="17" spans="2:6" x14ac:dyDescent="0.25">
      <c r="B17" s="128" t="s">
        <v>78</v>
      </c>
      <c r="F17" s="128" t="s">
        <v>425</v>
      </c>
    </row>
    <row r="18" spans="2:6" ht="4.9000000000000004" customHeight="1" x14ac:dyDescent="0.25">
      <c r="B18" s="72"/>
    </row>
    <row r="19" spans="2:6" x14ac:dyDescent="0.25">
      <c r="B19" s="127" t="s">
        <v>97</v>
      </c>
      <c r="F19" s="127" t="s">
        <v>89</v>
      </c>
    </row>
    <row r="20" spans="2:6" ht="7.9" customHeight="1" x14ac:dyDescent="0.25">
      <c r="B20" s="73"/>
      <c r="F20" s="73"/>
    </row>
    <row r="21" spans="2:6" x14ac:dyDescent="0.25">
      <c r="B21" s="73" t="s">
        <v>420</v>
      </c>
      <c r="F21" s="127" t="s">
        <v>80</v>
      </c>
    </row>
    <row r="22" spans="2:6" x14ac:dyDescent="0.25">
      <c r="B22" s="383" t="str">
        <f>Rpt_Cat!B13</f>
        <v>Benalla</v>
      </c>
      <c r="F22" s="127" t="s">
        <v>218</v>
      </c>
    </row>
    <row r="23" spans="2:6" x14ac:dyDescent="0.25">
      <c r="B23" s="383" t="str">
        <f>Rpt_Cat!B14</f>
        <v>Kalkallo</v>
      </c>
      <c r="F23" s="127" t="s">
        <v>71</v>
      </c>
    </row>
    <row r="24" spans="2:6" x14ac:dyDescent="0.25">
      <c r="B24" s="383" t="str">
        <f>Rpt_Cat!B15</f>
        <v>Lang lang</v>
      </c>
      <c r="F24" s="73"/>
    </row>
    <row r="25" spans="2:6" x14ac:dyDescent="0.25">
      <c r="B25" s="383" t="str">
        <f>Rpt_Cat!B16</f>
        <v>Mansfield</v>
      </c>
      <c r="F25" s="128" t="s">
        <v>460</v>
      </c>
    </row>
    <row r="26" spans="2:6" x14ac:dyDescent="0.25">
      <c r="B26" s="383" t="str">
        <f>Rpt_Cat!B17</f>
        <v>Sale</v>
      </c>
    </row>
    <row r="27" spans="2:6" x14ac:dyDescent="0.25">
      <c r="B27" s="383" t="str">
        <f>Rpt_Cat!B18</f>
        <v>New Kalkallo (2nd ZSS)</v>
      </c>
      <c r="F27" s="127" t="s">
        <v>461</v>
      </c>
    </row>
    <row r="28" spans="2:6" ht="5.25" customHeight="1" x14ac:dyDescent="0.25"/>
    <row r="29" spans="2:6" x14ac:dyDescent="0.25">
      <c r="B29" s="127" t="s">
        <v>450</v>
      </c>
      <c r="F29" s="127" t="s">
        <v>726</v>
      </c>
    </row>
    <row r="30" spans="2:6" ht="6" customHeight="1" x14ac:dyDescent="0.25">
      <c r="B30" s="382"/>
    </row>
    <row r="31" spans="2:6" x14ac:dyDescent="0.25">
      <c r="B31" s="127" t="s">
        <v>416</v>
      </c>
    </row>
    <row r="32" spans="2:6" ht="6" customHeight="1" x14ac:dyDescent="0.25"/>
    <row r="34" spans="2:2" ht="10.15" customHeight="1" x14ac:dyDescent="0.25">
      <c r="B34" s="73"/>
    </row>
    <row r="36" spans="2:2" ht="10.15" customHeight="1" x14ac:dyDescent="0.25"/>
    <row r="38" spans="2:2" ht="6.6" customHeight="1" x14ac:dyDescent="0.25"/>
    <row r="40" spans="2:2" ht="5.45" customHeight="1" x14ac:dyDescent="0.25"/>
    <row r="44" spans="2:2" ht="9" customHeight="1" x14ac:dyDescent="0.25"/>
    <row r="46" spans="2:2" ht="6" customHeight="1" x14ac:dyDescent="0.25"/>
    <row r="48" spans="2:2" ht="6.6" customHeight="1" x14ac:dyDescent="0.25"/>
    <row r="50" ht="4.9000000000000004" customHeight="1" x14ac:dyDescent="0.25"/>
  </sheetData>
  <hyperlinks>
    <hyperlink ref="B19" location="Opex_Inputs!A1" display="Operating &amp; Maintenance Costs"/>
    <hyperlink ref="B31" location="Direct_Capex_Totals!A1" display="Direct Capital Cost Input Total by Activity"/>
    <hyperlink ref="F11" location="Direct_Capex_Composition!A1" display="Direct Capital Cost Composition"/>
    <hyperlink ref="F13" location="Overheads!A1" display="Capitalised Overheads"/>
    <hyperlink ref="F19" location="Capex_by_Purpose!A1" display="Capex by Purpose - EDPR Final decision &amp; Contingent Project"/>
    <hyperlink ref="F21" location="Station_Summary!A1" display="Capex Summary by Zone Substation"/>
    <hyperlink ref="F23" location="PTRM_Inputs!A1" display="PTRM Inputs"/>
    <hyperlink ref="F12" location="Direct_Summary!A1" display="Direct Summary by Category - incl. Labour escalation"/>
    <hyperlink ref="F22" location="Other_Tables!A1" display="Other Summary Tables"/>
    <hyperlink ref="B12" location="Rpt_Cat!A1" display="Reporting Categories"/>
    <hyperlink ref="B13" location="Unit_Rates!A1" display="Unit Rates"/>
    <hyperlink ref="B14" location="Lab_Rates!A1" display="Labour Rates"/>
    <hyperlink ref="B15" location="Feeder_Vols!A1" display="Feeder Work Volumes"/>
    <hyperlink ref="B11" location="Escalators!A1" display="Escalators"/>
    <hyperlink ref="B29" location="Other_Capex!A1" display="Other Capex Program Inputs"/>
    <hyperlink ref="F27" location="T1_Allowance!A1" display="Tranche 1 (T1) Allowances"/>
    <hyperlink ref="B22" location="BN_Det!A1" display="BN_Det!A1"/>
    <hyperlink ref="B23" location="KLO_Det!A1" display="KLO_Det!A1"/>
    <hyperlink ref="B24" location="LLG_Det!A1" display="LLG_Det!A1"/>
    <hyperlink ref="B25" location="MSD_Det!A1" display="MSD_Det!A1"/>
    <hyperlink ref="B26" location="SLE_Det!A1" display="SLE_Det!A1"/>
    <hyperlink ref="B27" location="New_KLO2!A1" display="New_KLO2!A1"/>
    <hyperlink ref="F29" location="T2_Allowance!A1" display="Tranche 2 (T2) Allowanc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46"/>
  <sheetViews>
    <sheetView zoomScale="85" zoomScaleNormal="85" workbookViewId="0">
      <selection activeCell="B2" sqref="B2"/>
    </sheetView>
  </sheetViews>
  <sheetFormatPr defaultRowHeight="15" x14ac:dyDescent="0.25"/>
  <cols>
    <col min="1" max="1" width="3.28515625" customWidth="1"/>
    <col min="2" max="2" width="48" customWidth="1"/>
    <col min="3" max="3" width="9.7109375" customWidth="1"/>
    <col min="4" max="5" width="9.5703125" bestFit="1" customWidth="1"/>
    <col min="6" max="6" width="9.28515625" customWidth="1"/>
    <col min="7" max="10" width="9.5703125" bestFit="1" customWidth="1"/>
  </cols>
  <sheetData>
    <row r="1" spans="2:13" x14ac:dyDescent="0.25">
      <c r="B1" s="22" t="s">
        <v>100</v>
      </c>
    </row>
    <row r="2" spans="2:13" x14ac:dyDescent="0.25">
      <c r="B2" s="22"/>
    </row>
    <row r="3" spans="2:13" x14ac:dyDescent="0.25">
      <c r="B3" s="124" t="s">
        <v>112</v>
      </c>
      <c r="C3" s="497" t="s">
        <v>612</v>
      </c>
      <c r="D3" s="497" t="s">
        <v>613</v>
      </c>
      <c r="E3" s="497" t="s">
        <v>613</v>
      </c>
      <c r="F3" s="497" t="s">
        <v>613</v>
      </c>
      <c r="G3" s="497" t="s">
        <v>613</v>
      </c>
      <c r="H3" s="497" t="s">
        <v>729</v>
      </c>
      <c r="I3" s="714" t="s">
        <v>729</v>
      </c>
      <c r="J3" s="714" t="s">
        <v>729</v>
      </c>
      <c r="K3" s="714" t="s">
        <v>729</v>
      </c>
      <c r="L3" s="714" t="s">
        <v>729</v>
      </c>
      <c r="M3" s="714" t="s">
        <v>729</v>
      </c>
    </row>
    <row r="4" spans="2:13" x14ac:dyDescent="0.25"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09">
        <v>2021</v>
      </c>
      <c r="J4" s="409">
        <v>2022</v>
      </c>
      <c r="K4" s="409">
        <v>2023</v>
      </c>
      <c r="L4" s="675">
        <v>2024</v>
      </c>
      <c r="M4" s="675">
        <v>2025</v>
      </c>
    </row>
    <row r="5" spans="2:13" x14ac:dyDescent="0.25">
      <c r="B5" t="s">
        <v>611</v>
      </c>
      <c r="C5" s="37">
        <f>(106.4/104)-1</f>
        <v>2.3076923076923217E-2</v>
      </c>
      <c r="D5" s="44">
        <v>1.5108593012275628E-2</v>
      </c>
      <c r="E5" s="44">
        <v>1.0232558139534831E-2</v>
      </c>
      <c r="F5" s="44">
        <v>1.9337016574585641E-2</v>
      </c>
      <c r="G5" s="153">
        <v>2.0776874435411097E-2</v>
      </c>
      <c r="H5" s="153">
        <v>2.2499999999999999E-2</v>
      </c>
      <c r="I5" s="153">
        <v>2.4500000000000001E-2</v>
      </c>
      <c r="J5" s="153">
        <v>2.4500000000000001E-2</v>
      </c>
      <c r="K5" s="153">
        <v>2.4500000000000001E-2</v>
      </c>
      <c r="L5" s="153">
        <v>2.4500000000000001E-2</v>
      </c>
      <c r="M5" s="153">
        <v>2.4500000000000001E-2</v>
      </c>
    </row>
    <row r="6" spans="2:13" x14ac:dyDescent="0.25">
      <c r="B6" t="s">
        <v>635</v>
      </c>
      <c r="D6" s="44">
        <v>2.34949725108347E-2</v>
      </c>
      <c r="E6" s="44">
        <v>2.34949725108347E-2</v>
      </c>
      <c r="F6" s="44">
        <v>2.34949725108347E-2</v>
      </c>
      <c r="G6" s="44">
        <v>2.34949725108347E-2</v>
      </c>
      <c r="H6" s="44">
        <v>2.34949725108347E-2</v>
      </c>
      <c r="I6" s="44">
        <v>2.34949725108347E-2</v>
      </c>
      <c r="J6" s="44">
        <v>2.34949725108347E-2</v>
      </c>
      <c r="K6" s="44">
        <v>2.34949725108347E-2</v>
      </c>
      <c r="L6" s="44">
        <v>2.34949725108347E-2</v>
      </c>
      <c r="M6" s="44">
        <v>2.34949725108347E-2</v>
      </c>
    </row>
    <row r="7" spans="2:13" x14ac:dyDescent="0.25">
      <c r="B7" s="489" t="s">
        <v>579</v>
      </c>
      <c r="C7" s="490">
        <f>1+C5</f>
        <v>1.0230769230769232</v>
      </c>
      <c r="D7" s="490">
        <f>C7*(1+D5)</f>
        <v>1.0385341759279436</v>
      </c>
      <c r="E7" s="490">
        <f>D7*(1+E5)</f>
        <v>1.0491610372630202</v>
      </c>
      <c r="F7" s="490">
        <f>E7*(1+F5)</f>
        <v>1.0694486816299846</v>
      </c>
      <c r="G7" s="490">
        <f>F7*(1+G5)</f>
        <v>1.0916684826033267</v>
      </c>
      <c r="H7" s="49"/>
      <c r="I7" s="49"/>
      <c r="J7" s="49"/>
      <c r="K7" s="49"/>
    </row>
    <row r="8" spans="2:13" x14ac:dyDescent="0.25">
      <c r="B8" s="489" t="s">
        <v>581</v>
      </c>
      <c r="C8" s="490">
        <v>1</v>
      </c>
      <c r="D8" s="490">
        <f t="shared" ref="D8:G9" si="0">C8*(1+D5)</f>
        <v>1.0151085930122756</v>
      </c>
      <c r="E8" s="490">
        <f t="shared" si="0"/>
        <v>1.0254957507082152</v>
      </c>
      <c r="F8" s="490">
        <f t="shared" si="0"/>
        <v>1.0453257790368271</v>
      </c>
      <c r="G8" s="490">
        <f t="shared" si="0"/>
        <v>1.0670443814919734</v>
      </c>
      <c r="H8" s="49"/>
      <c r="I8" s="49"/>
      <c r="J8" s="49"/>
      <c r="K8" s="49"/>
    </row>
    <row r="9" spans="2:13" x14ac:dyDescent="0.25">
      <c r="B9" t="s">
        <v>577</v>
      </c>
      <c r="C9" s="49">
        <v>1</v>
      </c>
      <c r="D9" s="49">
        <f t="shared" si="0"/>
        <v>1.0234949725108347</v>
      </c>
      <c r="E9" s="49">
        <f t="shared" si="0"/>
        <v>1.0475419587549542</v>
      </c>
      <c r="F9" s="49">
        <f t="shared" si="0"/>
        <v>1.0721539282798478</v>
      </c>
      <c r="G9" s="49">
        <f t="shared" si="0"/>
        <v>1.0973441553521661</v>
      </c>
      <c r="H9" s="49">
        <f t="shared" ref="H9:M9" si="1">G9*(1+H6)</f>
        <v>1.1231262261170902</v>
      </c>
      <c r="I9" s="49">
        <f t="shared" si="1"/>
        <v>1.1495140459259088</v>
      </c>
      <c r="J9" s="49">
        <f t="shared" si="1"/>
        <v>1.1765218468357563</v>
      </c>
      <c r="K9" s="49">
        <f t="shared" si="1"/>
        <v>1.2041641952855588</v>
      </c>
      <c r="L9" s="49">
        <f t="shared" si="1"/>
        <v>1.2324559999523244</v>
      </c>
      <c r="M9" s="49">
        <f t="shared" si="1"/>
        <v>1.2614125197920174</v>
      </c>
    </row>
    <row r="10" spans="2:13" x14ac:dyDescent="0.25">
      <c r="B10" t="s">
        <v>578</v>
      </c>
      <c r="D10" s="49">
        <v>1</v>
      </c>
      <c r="E10" s="49">
        <f t="shared" ref="E10:M10" si="2">D10*(1+E6)</f>
        <v>1.0234949725108347</v>
      </c>
      <c r="F10" s="49">
        <f t="shared" si="2"/>
        <v>1.0475419587549542</v>
      </c>
      <c r="G10" s="49">
        <f t="shared" si="2"/>
        <v>1.0721539282798478</v>
      </c>
      <c r="H10" s="49">
        <f t="shared" si="2"/>
        <v>1.0973441553521661</v>
      </c>
      <c r="I10" s="49">
        <f t="shared" si="2"/>
        <v>1.1231262261170902</v>
      </c>
      <c r="J10" s="49">
        <f t="shared" si="2"/>
        <v>1.1495140459259088</v>
      </c>
      <c r="K10" s="49">
        <f t="shared" si="2"/>
        <v>1.1765218468357563</v>
      </c>
      <c r="L10" s="49">
        <f t="shared" si="2"/>
        <v>1.2041641952855588</v>
      </c>
      <c r="M10" s="49">
        <f t="shared" si="2"/>
        <v>1.2324559999523244</v>
      </c>
    </row>
    <row r="12" spans="2:13" x14ac:dyDescent="0.25">
      <c r="B12" s="166" t="s">
        <v>614</v>
      </c>
      <c r="C12" s="49">
        <f>106.6/105.9</f>
        <v>1.0066100094428705</v>
      </c>
      <c r="D12" s="152">
        <f>106.6/107.5</f>
        <v>0.99162790697674408</v>
      </c>
      <c r="E12" s="152">
        <f>106.6/108.6</f>
        <v>0.98158379373848992</v>
      </c>
      <c r="F12" s="152">
        <f>106.6/110.7</f>
        <v>0.96296296296296291</v>
      </c>
      <c r="G12" s="152">
        <f>106.6/113</f>
        <v>0.94336283185840708</v>
      </c>
    </row>
    <row r="13" spans="2:13" x14ac:dyDescent="0.25">
      <c r="B13" s="167" t="s">
        <v>615</v>
      </c>
      <c r="C13" s="152"/>
      <c r="D13" s="152"/>
      <c r="E13" s="152"/>
      <c r="F13" s="152"/>
      <c r="G13" s="204"/>
    </row>
    <row r="15" spans="2:13" x14ac:dyDescent="0.25">
      <c r="B15" s="141" t="s">
        <v>108</v>
      </c>
      <c r="C15" s="141"/>
    </row>
    <row r="16" spans="2:13" x14ac:dyDescent="0.25">
      <c r="C16" s="4">
        <v>2015</v>
      </c>
    </row>
    <row r="17" spans="2:10" x14ac:dyDescent="0.25">
      <c r="B17" t="s">
        <v>109</v>
      </c>
      <c r="C17" s="37">
        <v>1.8974612720283446E-2</v>
      </c>
    </row>
    <row r="18" spans="2:10" x14ac:dyDescent="0.25">
      <c r="B18" t="s">
        <v>111</v>
      </c>
      <c r="C18" s="37">
        <v>2.3414596363495743E-3</v>
      </c>
    </row>
    <row r="19" spans="2:10" x14ac:dyDescent="0.25">
      <c r="B19" s="41" t="s">
        <v>115</v>
      </c>
    </row>
    <row r="20" spans="2:10" x14ac:dyDescent="0.25">
      <c r="B20" s="41"/>
    </row>
    <row r="21" spans="2:10" x14ac:dyDescent="0.25">
      <c r="B21" s="141" t="s">
        <v>107</v>
      </c>
      <c r="C21" s="141"/>
      <c r="D21" s="46"/>
      <c r="E21" s="46"/>
      <c r="F21" s="46"/>
      <c r="G21" s="46"/>
      <c r="H21" s="46"/>
      <c r="I21" s="46"/>
      <c r="J21" s="46"/>
    </row>
    <row r="22" spans="2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2:10" x14ac:dyDescent="0.25">
      <c r="B23" s="132"/>
      <c r="C23" s="132"/>
      <c r="D23" s="756" t="s">
        <v>102</v>
      </c>
      <c r="E23" s="756"/>
      <c r="F23" s="756"/>
      <c r="G23" s="756"/>
      <c r="H23" s="757"/>
      <c r="I23" s="50"/>
      <c r="J23" s="50"/>
    </row>
    <row r="24" spans="2:10" x14ac:dyDescent="0.25">
      <c r="B24" s="132" t="s">
        <v>103</v>
      </c>
      <c r="C24" s="132"/>
      <c r="D24" s="137">
        <v>2016</v>
      </c>
      <c r="E24" s="137">
        <v>2017</v>
      </c>
      <c r="F24" s="137">
        <v>2018</v>
      </c>
      <c r="G24" s="137">
        <v>2019</v>
      </c>
      <c r="H24" s="137">
        <v>2020</v>
      </c>
      <c r="I24" s="44"/>
      <c r="J24" s="44"/>
    </row>
    <row r="25" spans="2:10" ht="15.75" thickBot="1" x14ac:dyDescent="0.3">
      <c r="B25" s="133" t="s">
        <v>104</v>
      </c>
      <c r="C25" s="142"/>
      <c r="D25" s="134"/>
      <c r="E25" s="134"/>
      <c r="F25" s="134"/>
      <c r="G25" s="134"/>
      <c r="H25" s="134"/>
      <c r="I25" s="46"/>
      <c r="J25" s="46"/>
    </row>
    <row r="26" spans="2:10" ht="30.75" thickBot="1" x14ac:dyDescent="0.3">
      <c r="B26" s="138" t="s">
        <v>105</v>
      </c>
      <c r="C26" s="143"/>
      <c r="D26" s="136">
        <v>0.4</v>
      </c>
      <c r="E26" s="136">
        <v>0.37</v>
      </c>
      <c r="F26" s="136">
        <v>0.79</v>
      </c>
      <c r="G26" s="136">
        <v>0.96</v>
      </c>
      <c r="H26" s="136">
        <v>1.02</v>
      </c>
      <c r="I26" s="44"/>
      <c r="J26" s="44"/>
    </row>
    <row r="27" spans="2:10" ht="15.75" thickBot="1" x14ac:dyDescent="0.3">
      <c r="B27" s="135" t="s">
        <v>106</v>
      </c>
      <c r="C27" s="144"/>
      <c r="D27" s="136">
        <v>0.36</v>
      </c>
      <c r="E27" s="136">
        <v>0.39</v>
      </c>
      <c r="F27" s="136">
        <v>0.97</v>
      </c>
      <c r="G27" s="136">
        <v>1.0900000000000001</v>
      </c>
      <c r="H27" s="136">
        <v>1.1599999999999999</v>
      </c>
      <c r="I27" s="46"/>
      <c r="J27" s="46"/>
    </row>
    <row r="28" spans="2:10" x14ac:dyDescent="0.25">
      <c r="B28" s="41" t="s">
        <v>110</v>
      </c>
      <c r="C28" s="41"/>
      <c r="D28" s="46"/>
      <c r="E28" s="46"/>
      <c r="F28" s="46"/>
      <c r="G28" s="46"/>
      <c r="H28" s="46"/>
      <c r="I28" s="46"/>
      <c r="J28" s="46"/>
    </row>
    <row r="29" spans="2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2:10" x14ac:dyDescent="0.25">
      <c r="B30" s="23" t="s">
        <v>113</v>
      </c>
      <c r="I30" s="46"/>
      <c r="J30" s="46"/>
    </row>
    <row r="31" spans="2:10" x14ac:dyDescent="0.25">
      <c r="C31" s="4">
        <v>2015</v>
      </c>
      <c r="D31" s="4">
        <v>2016</v>
      </c>
      <c r="E31" s="4">
        <v>2017</v>
      </c>
      <c r="F31" s="4">
        <v>2018</v>
      </c>
      <c r="G31" s="4">
        <v>2019</v>
      </c>
      <c r="H31" s="4">
        <v>2020</v>
      </c>
      <c r="I31" s="46"/>
      <c r="J31" s="46"/>
    </row>
    <row r="32" spans="2:10" x14ac:dyDescent="0.25">
      <c r="B32" s="46" t="s">
        <v>587</v>
      </c>
      <c r="C32" s="145">
        <v>1</v>
      </c>
      <c r="D32" s="145">
        <f>C32*1+(D26/100)</f>
        <v>1.004</v>
      </c>
      <c r="E32" s="145">
        <f t="shared" ref="E32:H33" si="3">D32*(1+E26/100)</f>
        <v>1.0077148</v>
      </c>
      <c r="F32" s="145">
        <f t="shared" si="3"/>
        <v>1.01567574692</v>
      </c>
      <c r="G32" s="145">
        <f t="shared" si="3"/>
        <v>1.0254262340904321</v>
      </c>
      <c r="H32" s="145">
        <f t="shared" si="3"/>
        <v>1.0358855816781545</v>
      </c>
      <c r="I32" s="51"/>
      <c r="J32" s="51"/>
    </row>
    <row r="33" spans="2:10" x14ac:dyDescent="0.25">
      <c r="B33" s="46" t="s">
        <v>588</v>
      </c>
      <c r="C33" s="145">
        <v>1</v>
      </c>
      <c r="D33" s="145">
        <f>C33*1+(D27/100)</f>
        <v>1.0036</v>
      </c>
      <c r="E33" s="145">
        <f t="shared" si="3"/>
        <v>1.00751404</v>
      </c>
      <c r="F33" s="145">
        <f t="shared" si="3"/>
        <v>1.017286926188</v>
      </c>
      <c r="G33" s="145">
        <f t="shared" si="3"/>
        <v>1.028375353683449</v>
      </c>
      <c r="H33" s="145">
        <f t="shared" si="3"/>
        <v>1.040304507786177</v>
      </c>
      <c r="I33" s="46"/>
      <c r="J33" s="46"/>
    </row>
    <row r="34" spans="2:10" x14ac:dyDescent="0.25">
      <c r="B34" s="46"/>
      <c r="C34" s="46"/>
      <c r="D34" s="46"/>
      <c r="E34" s="46"/>
      <c r="F34" s="51"/>
      <c r="G34" s="51"/>
      <c r="H34" s="51"/>
      <c r="I34" s="51"/>
      <c r="J34" s="51"/>
    </row>
    <row r="35" spans="2:10" x14ac:dyDescent="0.25">
      <c r="B35" s="23" t="s">
        <v>114</v>
      </c>
      <c r="H35" s="46"/>
      <c r="I35" s="46"/>
      <c r="J35" s="46"/>
    </row>
    <row r="36" spans="2:10" x14ac:dyDescent="0.25">
      <c r="C36" s="4">
        <v>2015</v>
      </c>
      <c r="D36" s="4">
        <v>2016</v>
      </c>
      <c r="E36" s="4">
        <v>2017</v>
      </c>
      <c r="F36" s="4">
        <v>2018</v>
      </c>
      <c r="G36" s="4">
        <v>2019</v>
      </c>
      <c r="H36" s="4">
        <v>2020</v>
      </c>
      <c r="I36" s="46"/>
      <c r="J36" s="46"/>
    </row>
    <row r="37" spans="2:10" x14ac:dyDescent="0.25">
      <c r="B37" t="s">
        <v>120</v>
      </c>
      <c r="C37" s="30">
        <f>C17</f>
        <v>1.8974612720283446E-2</v>
      </c>
      <c r="D37" s="37">
        <v>4.0141199352505454E-3</v>
      </c>
      <c r="E37" s="37">
        <v>3.7161988694249539E-3</v>
      </c>
      <c r="F37" s="37">
        <v>7.8500228561824374E-3</v>
      </c>
      <c r="G37" s="37">
        <v>9.5736854428500953E-3</v>
      </c>
      <c r="H37" s="37">
        <v>1.0192912905840656E-2</v>
      </c>
      <c r="I37" s="46"/>
      <c r="J37" s="46"/>
    </row>
    <row r="38" spans="2:10" x14ac:dyDescent="0.25">
      <c r="B38" t="s">
        <v>607</v>
      </c>
      <c r="C38" s="49">
        <v>1</v>
      </c>
      <c r="D38" s="49">
        <f>C38*(1+D37)</f>
        <v>1.0040141199352506</v>
      </c>
      <c r="E38" s="49">
        <f>D38*(1+E37)</f>
        <v>1.0077452360726407</v>
      </c>
      <c r="F38" s="49">
        <f>E38*(1+F37)</f>
        <v>1.0156560592090198</v>
      </c>
      <c r="G38" s="49">
        <f>F38*(1+G37)</f>
        <v>1.0253796308380116</v>
      </c>
      <c r="H38" s="49">
        <f>G38*(1+H37)</f>
        <v>1.0358312361105666</v>
      </c>
      <c r="I38" s="44"/>
      <c r="J38" s="44"/>
    </row>
    <row r="39" spans="2:10" x14ac:dyDescent="0.25">
      <c r="I39" s="46"/>
      <c r="J39" s="46"/>
    </row>
    <row r="40" spans="2:10" x14ac:dyDescent="0.25">
      <c r="B40" t="s">
        <v>62</v>
      </c>
      <c r="D40" s="4">
        <v>2016</v>
      </c>
      <c r="E40" s="4">
        <v>2017</v>
      </c>
      <c r="F40" s="4">
        <v>2018</v>
      </c>
      <c r="G40" s="4">
        <v>2019</v>
      </c>
      <c r="H40" s="4">
        <v>2020</v>
      </c>
    </row>
    <row r="41" spans="2:10" x14ac:dyDescent="0.25">
      <c r="B41" t="s">
        <v>63</v>
      </c>
      <c r="D41" s="46">
        <v>0.62</v>
      </c>
      <c r="E41" s="46">
        <v>0.62</v>
      </c>
      <c r="F41" s="46">
        <v>0.62</v>
      </c>
      <c r="G41" s="46">
        <v>0.62</v>
      </c>
      <c r="H41" s="46">
        <v>0.62</v>
      </c>
    </row>
    <row r="42" spans="2:10" x14ac:dyDescent="0.25">
      <c r="B42" t="s">
        <v>64</v>
      </c>
      <c r="D42">
        <v>0.38</v>
      </c>
      <c r="E42">
        <v>0.38</v>
      </c>
      <c r="F42">
        <v>0.38</v>
      </c>
      <c r="G42">
        <v>0.38</v>
      </c>
      <c r="H42">
        <v>0.38</v>
      </c>
    </row>
    <row r="43" spans="2:10" x14ac:dyDescent="0.25">
      <c r="B43" s="41" t="s">
        <v>121</v>
      </c>
    </row>
    <row r="44" spans="2:10" x14ac:dyDescent="0.25">
      <c r="B44" s="43"/>
      <c r="C44" s="43"/>
      <c r="D44" s="43"/>
      <c r="E44" s="43"/>
      <c r="F44" s="43"/>
      <c r="G44" s="43"/>
      <c r="H44" s="43"/>
    </row>
    <row r="45" spans="2:10" x14ac:dyDescent="0.25">
      <c r="D45" s="37"/>
      <c r="E45" s="37"/>
      <c r="F45" s="37"/>
      <c r="G45" s="37"/>
    </row>
    <row r="46" spans="2:10" x14ac:dyDescent="0.25">
      <c r="B46" t="s">
        <v>76</v>
      </c>
      <c r="C46" s="71">
        <v>1000</v>
      </c>
    </row>
  </sheetData>
  <mergeCells count="1">
    <mergeCell ref="D23:H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24"/>
  <sheetViews>
    <sheetView zoomScaleNormal="100" workbookViewId="0">
      <selection activeCell="B16" sqref="B16"/>
    </sheetView>
  </sheetViews>
  <sheetFormatPr defaultRowHeight="15" x14ac:dyDescent="0.25"/>
  <cols>
    <col min="1" max="1" width="4.7109375" customWidth="1"/>
    <col min="2" max="2" width="67.7109375" customWidth="1"/>
    <col min="3" max="3" width="10.5703125" customWidth="1"/>
    <col min="4" max="4" width="50.7109375" customWidth="1"/>
  </cols>
  <sheetData>
    <row r="2" spans="2:4" x14ac:dyDescent="0.25">
      <c r="B2" s="22" t="s">
        <v>223</v>
      </c>
    </row>
    <row r="3" spans="2:4" x14ac:dyDescent="0.25">
      <c r="B3" t="s">
        <v>369</v>
      </c>
      <c r="C3" s="206" t="s">
        <v>321</v>
      </c>
      <c r="D3" s="268" t="s">
        <v>329</v>
      </c>
    </row>
    <row r="5" spans="2:4" x14ac:dyDescent="0.25">
      <c r="B5" t="s">
        <v>275</v>
      </c>
      <c r="C5" s="263">
        <v>125</v>
      </c>
    </row>
    <row r="6" spans="2:4" x14ac:dyDescent="0.25">
      <c r="B6" t="s">
        <v>276</v>
      </c>
      <c r="C6" s="263">
        <v>152</v>
      </c>
    </row>
    <row r="7" spans="2:4" x14ac:dyDescent="0.25">
      <c r="B7" t="s">
        <v>305</v>
      </c>
      <c r="C7" s="263">
        <v>142</v>
      </c>
    </row>
    <row r="8" spans="2:4" x14ac:dyDescent="0.25">
      <c r="B8" t="s">
        <v>272</v>
      </c>
      <c r="C8" s="263">
        <v>165</v>
      </c>
    </row>
    <row r="9" spans="2:4" x14ac:dyDescent="0.25">
      <c r="B9" t="s">
        <v>302</v>
      </c>
      <c r="C9" s="263">
        <v>215</v>
      </c>
    </row>
    <row r="10" spans="2:4" x14ac:dyDescent="0.25">
      <c r="B10" t="s">
        <v>304</v>
      </c>
      <c r="C10" s="263">
        <v>152</v>
      </c>
    </row>
    <row r="11" spans="2:4" x14ac:dyDescent="0.25">
      <c r="B11" t="s">
        <v>271</v>
      </c>
      <c r="C11" s="263">
        <v>152</v>
      </c>
    </row>
    <row r="12" spans="2:4" x14ac:dyDescent="0.25">
      <c r="B12" t="s">
        <v>273</v>
      </c>
      <c r="C12" s="263">
        <v>152</v>
      </c>
    </row>
    <row r="15" spans="2:4" x14ac:dyDescent="0.25">
      <c r="C15" s="206"/>
    </row>
    <row r="17" spans="2:4" x14ac:dyDescent="0.25">
      <c r="B17" s="1"/>
      <c r="C17" s="334"/>
      <c r="D17" s="274"/>
    </row>
    <row r="19" spans="2:4" x14ac:dyDescent="0.25">
      <c r="C19" s="263"/>
    </row>
    <row r="20" spans="2:4" x14ac:dyDescent="0.25">
      <c r="C20" s="263"/>
    </row>
    <row r="21" spans="2:4" x14ac:dyDescent="0.25">
      <c r="C21" s="263"/>
    </row>
    <row r="22" spans="2:4" x14ac:dyDescent="0.25">
      <c r="C22" s="263"/>
    </row>
    <row r="23" spans="2:4" x14ac:dyDescent="0.25">
      <c r="C23" s="263"/>
    </row>
    <row r="24" spans="2:4" x14ac:dyDescent="0.25">
      <c r="C24" s="2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18"/>
  <sheetViews>
    <sheetView workbookViewId="0">
      <selection activeCell="B13" sqref="B13"/>
    </sheetView>
  </sheetViews>
  <sheetFormatPr defaultRowHeight="15" x14ac:dyDescent="0.25"/>
  <cols>
    <col min="1" max="1" width="5.7109375" customWidth="1"/>
    <col min="2" max="2" width="32.7109375" customWidth="1"/>
    <col min="4" max="4" width="27.85546875" customWidth="1"/>
  </cols>
  <sheetData>
    <row r="2" spans="2:6" x14ac:dyDescent="0.25">
      <c r="B2" s="25" t="s">
        <v>391</v>
      </c>
      <c r="D2" s="25" t="s">
        <v>396</v>
      </c>
      <c r="F2" s="25" t="s">
        <v>397</v>
      </c>
    </row>
    <row r="3" spans="2:6" x14ac:dyDescent="0.25">
      <c r="B3" t="s">
        <v>18</v>
      </c>
      <c r="D3" t="s">
        <v>44</v>
      </c>
      <c r="F3" t="s">
        <v>265</v>
      </c>
    </row>
    <row r="4" spans="2:6" x14ac:dyDescent="0.25">
      <c r="B4" t="s">
        <v>19</v>
      </c>
      <c r="D4" t="s">
        <v>43</v>
      </c>
      <c r="F4" t="s">
        <v>270</v>
      </c>
    </row>
    <row r="5" spans="2:6" x14ac:dyDescent="0.25">
      <c r="B5" t="s">
        <v>22</v>
      </c>
      <c r="D5" t="s">
        <v>42</v>
      </c>
    </row>
    <row r="6" spans="2:6" x14ac:dyDescent="0.25">
      <c r="B6" t="s">
        <v>23</v>
      </c>
      <c r="D6" t="s">
        <v>392</v>
      </c>
    </row>
    <row r="7" spans="2:6" x14ac:dyDescent="0.25">
      <c r="B7" t="s">
        <v>24</v>
      </c>
      <c r="D7" t="s">
        <v>393</v>
      </c>
    </row>
    <row r="8" spans="2:6" x14ac:dyDescent="0.25">
      <c r="B8" t="s">
        <v>211</v>
      </c>
      <c r="D8" t="s">
        <v>394</v>
      </c>
    </row>
    <row r="9" spans="2:6" x14ac:dyDescent="0.25">
      <c r="D9" t="s">
        <v>395</v>
      </c>
    </row>
    <row r="12" spans="2:6" x14ac:dyDescent="0.25">
      <c r="B12" s="25" t="s">
        <v>436</v>
      </c>
      <c r="C12" s="25" t="s">
        <v>439</v>
      </c>
    </row>
    <row r="13" spans="2:6" x14ac:dyDescent="0.25">
      <c r="B13" t="s">
        <v>727</v>
      </c>
      <c r="C13" t="s">
        <v>616</v>
      </c>
    </row>
    <row r="14" spans="2:6" x14ac:dyDescent="0.25">
      <c r="B14" t="s">
        <v>622</v>
      </c>
      <c r="C14" t="s">
        <v>617</v>
      </c>
    </row>
    <row r="15" spans="2:6" x14ac:dyDescent="0.25">
      <c r="B15" t="s">
        <v>621</v>
      </c>
      <c r="C15" t="s">
        <v>618</v>
      </c>
    </row>
    <row r="16" spans="2:6" x14ac:dyDescent="0.25">
      <c r="B16" t="s">
        <v>623</v>
      </c>
      <c r="C16" t="s">
        <v>619</v>
      </c>
    </row>
    <row r="17" spans="2:3" x14ac:dyDescent="0.25">
      <c r="B17" t="s">
        <v>624</v>
      </c>
      <c r="C17" t="s">
        <v>620</v>
      </c>
    </row>
    <row r="18" spans="2:3" x14ac:dyDescent="0.25">
      <c r="B18" t="s">
        <v>683</v>
      </c>
      <c r="C18" t="s">
        <v>684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122"/>
  <sheetViews>
    <sheetView zoomScale="85" zoomScaleNormal="85" workbookViewId="0">
      <pane xSplit="3" topLeftCell="D1" activePane="topRight" state="frozen"/>
      <selection pane="topRight" activeCell="D2" sqref="D2"/>
    </sheetView>
  </sheetViews>
  <sheetFormatPr defaultRowHeight="15" outlineLevelCol="1" x14ac:dyDescent="0.25"/>
  <cols>
    <col min="1" max="1" width="3.7109375" customWidth="1"/>
    <col min="2" max="2" width="2.85546875" customWidth="1"/>
    <col min="3" max="3" width="46.7109375" customWidth="1"/>
    <col min="4" max="4" width="57.28515625" customWidth="1"/>
    <col min="5" max="5" width="9.7109375" customWidth="1"/>
    <col min="6" max="6" width="13.28515625" customWidth="1"/>
    <col min="7" max="7" width="33.28515625" style="335" customWidth="1"/>
    <col min="8" max="8" width="17.42578125" style="335" customWidth="1"/>
    <col min="9" max="9" width="9.5703125" bestFit="1" customWidth="1"/>
    <col min="10" max="10" width="12.28515625" customWidth="1"/>
    <col min="11" max="11" width="10.7109375" customWidth="1"/>
    <col min="12" max="12" width="11" customWidth="1"/>
    <col min="13" max="13" width="10.85546875" customWidth="1"/>
    <col min="14" max="14" width="12.7109375" customWidth="1"/>
    <col min="15" max="15" width="9.140625" customWidth="1"/>
    <col min="17" max="22" width="9.140625" customWidth="1" outlineLevel="1"/>
  </cols>
  <sheetData>
    <row r="1" spans="2:22" x14ac:dyDescent="0.25">
      <c r="B1" s="22" t="s">
        <v>580</v>
      </c>
      <c r="F1" s="745" t="s">
        <v>432</v>
      </c>
      <c r="G1" s="393"/>
    </row>
    <row r="2" spans="2:22" x14ac:dyDescent="0.25">
      <c r="F2" s="392"/>
      <c r="G2" s="393"/>
    </row>
    <row r="3" spans="2:22" x14ac:dyDescent="0.25">
      <c r="B3" s="25" t="s">
        <v>234</v>
      </c>
      <c r="F3" s="392"/>
      <c r="G3" s="393"/>
    </row>
    <row r="4" spans="2:22" ht="31.5" x14ac:dyDescent="0.25">
      <c r="B4" s="360" t="s">
        <v>279</v>
      </c>
      <c r="I4" s="204"/>
      <c r="J4" s="437"/>
      <c r="K4" s="437"/>
      <c r="L4" s="203"/>
      <c r="M4" s="729"/>
      <c r="N4" s="730"/>
      <c r="O4" s="730"/>
    </row>
    <row r="5" spans="2:22" ht="14.45" customHeight="1" x14ac:dyDescent="0.25">
      <c r="C5" s="348"/>
      <c r="D5" s="348"/>
      <c r="E5" s="350" t="s">
        <v>230</v>
      </c>
      <c r="F5" s="348"/>
      <c r="G5" s="355"/>
      <c r="H5" s="355"/>
      <c r="I5" s="348"/>
      <c r="J5" s="348"/>
      <c r="K5" s="348"/>
      <c r="M5" s="529"/>
      <c r="N5" s="529"/>
      <c r="O5" s="529"/>
      <c r="Q5" t="s">
        <v>610</v>
      </c>
    </row>
    <row r="6" spans="2:22" x14ac:dyDescent="0.25">
      <c r="C6" s="349" t="s">
        <v>231</v>
      </c>
      <c r="D6" s="349" t="s">
        <v>232</v>
      </c>
      <c r="E6" s="353" t="s">
        <v>235</v>
      </c>
      <c r="F6" s="349" t="s">
        <v>264</v>
      </c>
      <c r="G6" s="349" t="s">
        <v>373</v>
      </c>
      <c r="H6" s="349" t="s">
        <v>101</v>
      </c>
      <c r="I6" s="349" t="s">
        <v>151</v>
      </c>
      <c r="J6" s="349" t="s">
        <v>380</v>
      </c>
      <c r="K6" s="349" t="s">
        <v>77</v>
      </c>
      <c r="M6" s="482"/>
      <c r="N6" s="482"/>
      <c r="O6" s="482"/>
      <c r="Q6" s="495" t="str">
        <f>STN_1</f>
        <v>BN</v>
      </c>
      <c r="R6" s="495" t="str">
        <f>STN_2</f>
        <v>KLO</v>
      </c>
      <c r="S6" s="495" t="str">
        <f>STN_3</f>
        <v>LLG</v>
      </c>
      <c r="T6" s="495" t="str">
        <f>STN_4</f>
        <v>MSD</v>
      </c>
      <c r="U6" s="495" t="str">
        <f>STN_5</f>
        <v>SLE</v>
      </c>
      <c r="V6" s="495" t="str">
        <f>STN_9</f>
        <v>KLO2</v>
      </c>
    </row>
    <row r="7" spans="2:22" x14ac:dyDescent="0.25">
      <c r="C7" s="343" t="s">
        <v>322</v>
      </c>
      <c r="D7" s="318" t="s">
        <v>342</v>
      </c>
      <c r="E7" s="788"/>
      <c r="F7" s="340" t="s">
        <v>265</v>
      </c>
      <c r="G7" s="18" t="s">
        <v>18</v>
      </c>
      <c r="H7" s="364" t="s">
        <v>42</v>
      </c>
      <c r="I7" s="378">
        <v>68.506065486725646</v>
      </c>
      <c r="J7" s="788"/>
      <c r="K7" s="788"/>
      <c r="L7" s="484"/>
      <c r="M7" s="728"/>
      <c r="N7" s="728"/>
      <c r="O7" s="728"/>
      <c r="Q7">
        <f>IF(ISNA(VLOOKUP($C7,BN_Det!$C$17:$H$92,6,FALSE)),0,VLOOKUP($C7,BN_Det!$C$17:$H$92,6,FALSE))</f>
        <v>0</v>
      </c>
      <c r="R7">
        <f>IF(ISNA(VLOOKUP($C7,KLO_Det!$C$17:$H$93,6,FALSE)),0,VLOOKUP($C7,KLO_Det!$C$17:$H$93,6,FALSE))</f>
        <v>0</v>
      </c>
      <c r="S7">
        <f>IF(ISNA(VLOOKUP($C7,LLG_Det!$C$17:$H$91,6,FALSE)),0,VLOOKUP($C7,LLG_Det!$C$17:$H$91,6,FALSE))</f>
        <v>2</v>
      </c>
      <c r="T7">
        <f>IF(ISNA(VLOOKUP($C7,MSD_Det!$C$17:$H$91,6,FALSE)),0,VLOOKUP($C7,MSD_Det!$C$17:$H$91,6,FALSE))</f>
        <v>2</v>
      </c>
      <c r="U7">
        <f>IF(ISNA(VLOOKUP($C7,SLE_Det!$C$17:$H$93,6,FALSE)),0,VLOOKUP($C7,SLE_Det!$C$17:$H$93,6,FALSE))</f>
        <v>2</v>
      </c>
    </row>
    <row r="8" spans="2:22" x14ac:dyDescent="0.25">
      <c r="C8" s="343" t="s">
        <v>345</v>
      </c>
      <c r="D8" s="318" t="s">
        <v>343</v>
      </c>
      <c r="E8" s="788"/>
      <c r="F8" s="340" t="s">
        <v>265</v>
      </c>
      <c r="G8" s="18" t="s">
        <v>18</v>
      </c>
      <c r="H8" s="364" t="s">
        <v>42</v>
      </c>
      <c r="I8" s="378">
        <v>106.43774159292033</v>
      </c>
      <c r="J8" s="788"/>
      <c r="K8" s="788"/>
      <c r="L8" s="484"/>
      <c r="M8" s="728"/>
      <c r="N8" s="728"/>
      <c r="O8" s="728"/>
      <c r="Q8">
        <f>IF(ISNA(VLOOKUP($C8,BN_Det!$C$17:$H$92,6,FALSE)),0,VLOOKUP($C8,BN_Det!$C$17:$H$92,6,FALSE))</f>
        <v>2</v>
      </c>
      <c r="R8">
        <f>IF(ISNA(VLOOKUP($C8,KLO_Det!$C$17:$H$93,6,FALSE)),0,VLOOKUP($C8,KLO_Det!$C$17:$H$93,6,FALSE))</f>
        <v>2</v>
      </c>
      <c r="S8">
        <f>IF(ISNA(VLOOKUP($C8,LLG_Det!$C$17:$H$91,6,FALSE)),0,VLOOKUP($C8,LLG_Det!$C$17:$H$91,6,FALSE))</f>
        <v>0</v>
      </c>
      <c r="T8">
        <f>IF(ISNA(VLOOKUP($C8,MSD_Det!$C$17:$H$91,6,FALSE)),0,VLOOKUP($C8,MSD_Det!$C$17:$H$91,6,FALSE))</f>
        <v>0</v>
      </c>
      <c r="U8">
        <f>IF(ISNA(VLOOKUP($C8,SLE_Det!$C$17:$H$93,6,FALSE)),0,VLOOKUP($C8,SLE_Det!$C$17:$H$93,6,FALSE))</f>
        <v>0</v>
      </c>
    </row>
    <row r="9" spans="2:22" x14ac:dyDescent="0.25">
      <c r="C9" s="343" t="s">
        <v>685</v>
      </c>
      <c r="D9" s="318" t="s">
        <v>686</v>
      </c>
      <c r="E9" s="788"/>
      <c r="F9" s="340" t="s">
        <v>265</v>
      </c>
      <c r="G9" s="18" t="s">
        <v>18</v>
      </c>
      <c r="H9" s="364" t="s">
        <v>42</v>
      </c>
      <c r="I9" s="378">
        <v>358.38574100294977</v>
      </c>
      <c r="J9" s="788"/>
      <c r="K9" s="788"/>
      <c r="L9" s="484"/>
      <c r="M9" s="728"/>
      <c r="N9" s="728"/>
      <c r="O9" s="728"/>
      <c r="Q9">
        <f>IF(ISNA(VLOOKUP($C9,BN_Det!$C$17:$H$92,6,FALSE)),0,VLOOKUP($C9,BN_Det!$C$17:$H$92,6,FALSE))</f>
        <v>0</v>
      </c>
      <c r="R9">
        <f>IF(ISNA(VLOOKUP($C9,KLO_Det!$C$17:$H$93,6,FALSE)),0,VLOOKUP($C9,KLO_Det!$C$17:$H$93,6,FALSE))</f>
        <v>5</v>
      </c>
      <c r="S9">
        <f>IF(ISNA(VLOOKUP($C9,LLG_Det!$C$17:$H$91,6,FALSE)),0,VLOOKUP($C9,LLG_Det!$C$17:$H$91,6,FALSE))</f>
        <v>0</v>
      </c>
      <c r="T9">
        <f>IF(ISNA(VLOOKUP($C9,MSD_Det!$C$17:$H$91,6,FALSE)),0,VLOOKUP($C9,MSD_Det!$C$17:$H$91,6,FALSE))</f>
        <v>0</v>
      </c>
      <c r="U9">
        <f>IF(ISNA(VLOOKUP($C9,SLE_Det!$C$17:$H$93,6,FALSE)),0,VLOOKUP($C9,SLE_Det!$C$17:$H$93,6,FALSE))</f>
        <v>0</v>
      </c>
    </row>
    <row r="10" spans="2:22" x14ac:dyDescent="0.25">
      <c r="C10" s="343" t="s">
        <v>486</v>
      </c>
      <c r="D10" s="318" t="s">
        <v>385</v>
      </c>
      <c r="E10" s="788"/>
      <c r="F10" s="340" t="s">
        <v>265</v>
      </c>
      <c r="G10" s="18" t="s">
        <v>18</v>
      </c>
      <c r="H10" s="364" t="s">
        <v>42</v>
      </c>
      <c r="I10" s="378">
        <v>37.069442477876102</v>
      </c>
      <c r="J10" s="788"/>
      <c r="K10" s="788"/>
      <c r="L10" s="484"/>
      <c r="M10" s="728"/>
      <c r="N10" s="728"/>
      <c r="O10" s="728"/>
      <c r="Q10">
        <f>IF(ISNA(VLOOKUP($C10,BN_Det!$C$17:$H$92,6,FALSE)),0,VLOOKUP($C10,BN_Det!$C$17:$H$92,6,FALSE))</f>
        <v>1</v>
      </c>
      <c r="R10">
        <f>IF(ISNA(VLOOKUP($C10,KLO_Det!$C$17:$H$93,6,FALSE)),0,VLOOKUP($C10,KLO_Det!$C$17:$H$93,6,FALSE))</f>
        <v>1</v>
      </c>
      <c r="S10">
        <f>IF(ISNA(VLOOKUP($C10,LLG_Det!$C$17:$H$91,6,FALSE)),0,VLOOKUP($C10,LLG_Det!$C$17:$H$91,6,FALSE))</f>
        <v>1</v>
      </c>
      <c r="T10">
        <f>IF(ISNA(VLOOKUP($C10,MSD_Det!$C$17:$H$91,6,FALSE)),0,VLOOKUP($C10,MSD_Det!$C$17:$H$91,6,FALSE))</f>
        <v>1</v>
      </c>
      <c r="U10">
        <f>IF(ISNA(VLOOKUP($C10,SLE_Det!$C$17:$H$93,6,FALSE)),0,VLOOKUP($C10,SLE_Det!$C$17:$H$93,6,FALSE))</f>
        <v>1</v>
      </c>
    </row>
    <row r="11" spans="2:22" x14ac:dyDescent="0.25">
      <c r="C11" s="343" t="s">
        <v>487</v>
      </c>
      <c r="D11" s="318" t="s">
        <v>381</v>
      </c>
      <c r="E11" s="788"/>
      <c r="F11" s="340" t="s">
        <v>265</v>
      </c>
      <c r="G11" s="18" t="s">
        <v>18</v>
      </c>
      <c r="H11" s="364" t="s">
        <v>42</v>
      </c>
      <c r="I11" s="378">
        <v>40.541017699115038</v>
      </c>
      <c r="J11" s="788"/>
      <c r="K11" s="788"/>
      <c r="L11" s="484"/>
      <c r="M11" s="728"/>
      <c r="N11" s="728"/>
      <c r="O11" s="728"/>
      <c r="Q11">
        <f>IF(ISNA(VLOOKUP($C11,BN_Det!$C$17:$H$92,6,FALSE)),0,VLOOKUP($C11,BN_Det!$C$17:$H$92,6,FALSE))</f>
        <v>1</v>
      </c>
      <c r="R11">
        <f>IF(ISNA(VLOOKUP($C11,KLO_Det!$C$17:$H$93,6,FALSE)),0,VLOOKUP($C11,KLO_Det!$C$17:$H$93,6,FALSE))</f>
        <v>1</v>
      </c>
      <c r="S11">
        <f>IF(ISNA(VLOOKUP($C11,LLG_Det!$C$17:$H$91,6,FALSE)),0,VLOOKUP($C11,LLG_Det!$C$17:$H$91,6,FALSE))</f>
        <v>1</v>
      </c>
      <c r="T11">
        <f>IF(ISNA(VLOOKUP($C11,MSD_Det!$C$17:$H$91,6,FALSE)),0,VLOOKUP($C11,MSD_Det!$C$17:$H$91,6,FALSE))</f>
        <v>1</v>
      </c>
      <c r="U11">
        <f>IF(ISNA(VLOOKUP($C11,SLE_Det!$C$17:$H$93,6,FALSE)),0,VLOOKUP($C11,SLE_Det!$C$17:$H$93,6,FALSE))</f>
        <v>1</v>
      </c>
    </row>
    <row r="12" spans="2:22" x14ac:dyDescent="0.25">
      <c r="C12" s="343" t="s">
        <v>382</v>
      </c>
      <c r="D12" s="318" t="s">
        <v>382</v>
      </c>
      <c r="E12" s="788"/>
      <c r="F12" s="340" t="s">
        <v>265</v>
      </c>
      <c r="G12" s="18" t="s">
        <v>18</v>
      </c>
      <c r="H12" s="364" t="s">
        <v>42</v>
      </c>
      <c r="I12" s="378">
        <v>0</v>
      </c>
      <c r="J12" s="788"/>
      <c r="K12" s="788"/>
      <c r="L12" s="484"/>
      <c r="M12" s="728"/>
      <c r="N12" s="728"/>
      <c r="O12" s="728"/>
      <c r="Q12">
        <f>IF(ISNA(VLOOKUP($C12,BN_Det!$C$17:$H$92,6,FALSE)),0,VLOOKUP($C12,BN_Det!$C$17:$H$92,6,FALSE))</f>
        <v>0</v>
      </c>
      <c r="R12">
        <f>IF(ISNA(VLOOKUP($C12,KLO_Det!$C$17:$H$93,6,FALSE)),0,VLOOKUP($C12,KLO_Det!$C$17:$H$93,6,FALSE))</f>
        <v>0</v>
      </c>
      <c r="S12">
        <f>IF(ISNA(VLOOKUP($C12,LLG_Det!$C$17:$H$91,6,FALSE)),0,VLOOKUP($C12,LLG_Det!$C$17:$H$91,6,FALSE))</f>
        <v>0</v>
      </c>
      <c r="T12">
        <f>IF(ISNA(VLOOKUP($C12,MSD_Det!$C$17:$H$91,6,FALSE)),0,VLOOKUP($C12,MSD_Det!$C$17:$H$91,6,FALSE))</f>
        <v>0</v>
      </c>
      <c r="U12">
        <f>IF(ISNA(VLOOKUP($C12,SLE_Det!$C$17:$H$93,6,FALSE)),0,VLOOKUP($C12,SLE_Det!$C$17:$H$93,6,FALSE))</f>
        <v>0</v>
      </c>
    </row>
    <row r="13" spans="2:22" x14ac:dyDescent="0.25">
      <c r="C13" s="343" t="s">
        <v>282</v>
      </c>
      <c r="D13" s="318" t="s">
        <v>325</v>
      </c>
      <c r="E13" s="788"/>
      <c r="F13" s="340" t="s">
        <v>265</v>
      </c>
      <c r="G13" s="18" t="s">
        <v>22</v>
      </c>
      <c r="H13" s="364" t="s">
        <v>42</v>
      </c>
      <c r="I13" s="378">
        <v>1092.6971681415926</v>
      </c>
      <c r="J13" s="788"/>
      <c r="K13" s="788"/>
      <c r="L13" s="632"/>
      <c r="M13" s="728"/>
      <c r="N13" s="728"/>
      <c r="O13" s="728"/>
      <c r="Q13">
        <f>IF(ISNA(VLOOKUP($C13,BN_Det!$C$17:$H$92,6,FALSE)),0,VLOOKUP($C13,BN_Det!$C$17:$H$92,6,FALSE))</f>
        <v>1</v>
      </c>
      <c r="R13">
        <f>IF(ISNA(VLOOKUP($C13,KLO_Det!$C$17:$H$93,6,FALSE)),0,VLOOKUP($C13,KLO_Det!$C$17:$H$93,6,FALSE))</f>
        <v>2</v>
      </c>
      <c r="S13">
        <f>IF(ISNA(VLOOKUP($C13,LLG_Det!$C$17:$H$91,6,FALSE)),0,VLOOKUP($C13,LLG_Det!$C$17:$H$91,6,FALSE))</f>
        <v>1</v>
      </c>
      <c r="T13">
        <f>IF(ISNA(VLOOKUP($C13,MSD_Det!$C$17:$H$91,6,FALSE)),0,VLOOKUP($C13,MSD_Det!$C$17:$H$91,6,FALSE))</f>
        <v>1</v>
      </c>
      <c r="U13">
        <f>IF(ISNA(VLOOKUP($C13,SLE_Det!$C$17:$H$93,6,FALSE)),0,VLOOKUP($C13,SLE_Det!$C$17:$H$93,6,FALSE))</f>
        <v>1</v>
      </c>
    </row>
    <row r="14" spans="2:22" x14ac:dyDescent="0.25">
      <c r="C14" s="343" t="s">
        <v>324</v>
      </c>
      <c r="D14" s="318" t="s">
        <v>326</v>
      </c>
      <c r="E14" s="788"/>
      <c r="F14" s="340" t="s">
        <v>265</v>
      </c>
      <c r="G14" s="18" t="s">
        <v>18</v>
      </c>
      <c r="H14" s="364" t="s">
        <v>42</v>
      </c>
      <c r="I14" s="378">
        <v>0</v>
      </c>
      <c r="J14" s="788"/>
      <c r="K14" s="788"/>
      <c r="L14" s="484"/>
      <c r="M14" s="728"/>
      <c r="N14" s="728"/>
      <c r="O14" s="728"/>
      <c r="Q14">
        <f>IF(ISNA(VLOOKUP($C14,BN_Det!$C$17:$H$92,6,FALSE)),0,VLOOKUP($C14,BN_Det!$C$17:$H$92,6,FALSE))</f>
        <v>1</v>
      </c>
      <c r="R14">
        <f>IF(ISNA(VLOOKUP($C14,KLO_Det!$C$17:$H$93,6,FALSE)),0,VLOOKUP($C14,KLO_Det!$C$17:$H$93,6,FALSE))</f>
        <v>2</v>
      </c>
      <c r="S14">
        <f>IF(ISNA(VLOOKUP($C14,LLG_Det!$C$17:$H$91,6,FALSE)),0,VLOOKUP($C14,LLG_Det!$C$17:$H$91,6,FALSE))</f>
        <v>1</v>
      </c>
      <c r="T14">
        <f>IF(ISNA(VLOOKUP($C14,MSD_Det!$C$17:$H$91,6,FALSE)),0,VLOOKUP($C14,MSD_Det!$C$17:$H$91,6,FALSE))</f>
        <v>1</v>
      </c>
      <c r="U14">
        <f>IF(ISNA(VLOOKUP($C14,SLE_Det!$C$17:$H$93,6,FALSE)),0,VLOOKUP($C14,SLE_Det!$C$17:$H$93,6,FALSE))</f>
        <v>1</v>
      </c>
    </row>
    <row r="15" spans="2:22" x14ac:dyDescent="0.25">
      <c r="C15" s="343" t="s">
        <v>296</v>
      </c>
      <c r="D15" s="318" t="s">
        <v>293</v>
      </c>
      <c r="E15" s="788"/>
      <c r="F15" s="340" t="s">
        <v>265</v>
      </c>
      <c r="G15" s="18" t="s">
        <v>18</v>
      </c>
      <c r="H15" s="364" t="s">
        <v>42</v>
      </c>
      <c r="I15" s="378">
        <v>1277.3132743362828</v>
      </c>
      <c r="J15" s="788"/>
      <c r="K15" s="788"/>
      <c r="L15" s="484"/>
      <c r="M15" s="728"/>
      <c r="N15" s="728"/>
      <c r="O15" s="728"/>
      <c r="Q15">
        <f>IF(ISNA(VLOOKUP($C15,BN_Det!$C$17:$H$92,6,FALSE)),0,VLOOKUP($C15,BN_Det!$C$17:$H$92,6,FALSE))</f>
        <v>0</v>
      </c>
      <c r="R15">
        <f>IF(ISNA(VLOOKUP($C15,KLO_Det!$C$17:$H$93,6,FALSE)),0,VLOOKUP($C15,KLO_Det!$C$17:$H$93,6,FALSE))</f>
        <v>0</v>
      </c>
      <c r="S15">
        <f>IF(ISNA(VLOOKUP($C15,LLG_Det!$C$17:$H$91,6,FALSE)),0,VLOOKUP($C15,LLG_Det!$C$17:$H$91,6,FALSE))</f>
        <v>1</v>
      </c>
      <c r="T15">
        <f>IF(ISNA(VLOOKUP($C15,MSD_Det!$C$17:$H$91,6,FALSE)),0,VLOOKUP($C15,MSD_Det!$C$17:$H$91,6,FALSE))</f>
        <v>0</v>
      </c>
      <c r="U15">
        <f>IF(ISNA(VLOOKUP($C15,SLE_Det!$C$17:$H$93,6,FALSE)),0,VLOOKUP($C15,SLE_Det!$C$17:$H$93,6,FALSE))</f>
        <v>1</v>
      </c>
    </row>
    <row r="16" spans="2:22" x14ac:dyDescent="0.25">
      <c r="C16" s="343" t="s">
        <v>295</v>
      </c>
      <c r="D16" s="318" t="s">
        <v>294</v>
      </c>
      <c r="E16" s="788"/>
      <c r="F16" s="340" t="s">
        <v>265</v>
      </c>
      <c r="G16" s="18" t="s">
        <v>18</v>
      </c>
      <c r="H16" s="364" t="s">
        <v>42</v>
      </c>
      <c r="I16" s="378">
        <v>1378.3627906976742</v>
      </c>
      <c r="J16" s="788"/>
      <c r="K16" s="788"/>
      <c r="L16" s="484"/>
      <c r="M16" s="728"/>
      <c r="N16" s="728"/>
      <c r="O16" s="728"/>
      <c r="Q16">
        <f>IF(ISNA(VLOOKUP($C16,BN_Det!$C$17:$H$92,6,FALSE)),0,VLOOKUP($C16,BN_Det!$C$17:$H$92,6,FALSE))</f>
        <v>0</v>
      </c>
      <c r="R16">
        <f>IF(ISNA(VLOOKUP($C16,KLO_Det!$C$17:$H$93,6,FALSE)),0,VLOOKUP($C16,KLO_Det!$C$17:$H$93,6,FALSE))</f>
        <v>0</v>
      </c>
      <c r="S16">
        <f>IF(ISNA(VLOOKUP($C16,LLG_Det!$C$17:$H$91,6,FALSE)),0,VLOOKUP($C16,LLG_Det!$C$17:$H$91,6,FALSE))</f>
        <v>0</v>
      </c>
      <c r="T16">
        <f>IF(ISNA(VLOOKUP($C16,MSD_Det!$C$17:$H$91,6,FALSE)),0,VLOOKUP($C16,MSD_Det!$C$17:$H$91,6,FALSE))</f>
        <v>0</v>
      </c>
      <c r="U16">
        <f>IF(ISNA(VLOOKUP($C16,SLE_Det!$C$17:$H$93,6,FALSE)),0,VLOOKUP($C16,SLE_Det!$C$17:$H$93,6,FALSE))</f>
        <v>0</v>
      </c>
    </row>
    <row r="17" spans="3:21" x14ac:dyDescent="0.25">
      <c r="C17" s="343" t="s">
        <v>661</v>
      </c>
      <c r="D17" s="318" t="s">
        <v>662</v>
      </c>
      <c r="E17" s="788"/>
      <c r="F17" s="340" t="s">
        <v>265</v>
      </c>
      <c r="G17" s="18" t="s">
        <v>18</v>
      </c>
      <c r="H17" s="364" t="s">
        <v>42</v>
      </c>
      <c r="I17" s="378">
        <v>660.35398230088481</v>
      </c>
      <c r="J17" s="788"/>
      <c r="K17" s="788"/>
      <c r="L17" s="484"/>
      <c r="M17" s="728"/>
      <c r="N17" s="728"/>
      <c r="O17" s="728"/>
      <c r="Q17">
        <f>IF(ISNA(VLOOKUP($C17,BN_Det!$C$17:$H$92,6,FALSE)),0,VLOOKUP($C17,BN_Det!$C$17:$H$92,6,FALSE))</f>
        <v>2</v>
      </c>
      <c r="R17">
        <f>IF(ISNA(VLOOKUP($C17,KLO_Det!$C$17:$H$93,6,FALSE)),0,VLOOKUP($C17,KLO_Det!$C$17:$H$93,6,FALSE))</f>
        <v>0</v>
      </c>
      <c r="S17">
        <f>IF(ISNA(VLOOKUP($C17,LLG_Det!$C$17:$H$91,6,FALSE)),0,VLOOKUP($C17,LLG_Det!$C$17:$H$91,6,FALSE))</f>
        <v>0</v>
      </c>
      <c r="T17">
        <f>IF(ISNA(VLOOKUP($C17,MSD_Det!$C$17:$H$91,6,FALSE)),0,VLOOKUP($C17,MSD_Det!$C$17:$H$91,6,FALSE))</f>
        <v>0</v>
      </c>
      <c r="U17">
        <f>IF(ISNA(VLOOKUP($C17,SLE_Det!$C$17:$H$93,6,FALSE)),0,VLOOKUP($C17,SLE_Det!$C$17:$H$93,6,FALSE))</f>
        <v>0</v>
      </c>
    </row>
    <row r="18" spans="3:21" x14ac:dyDescent="0.25">
      <c r="C18" s="343" t="s">
        <v>360</v>
      </c>
      <c r="D18" s="318" t="s">
        <v>384</v>
      </c>
      <c r="E18" s="788"/>
      <c r="F18" s="340" t="s">
        <v>265</v>
      </c>
      <c r="G18" s="18" t="s">
        <v>18</v>
      </c>
      <c r="H18" s="364" t="s">
        <v>42</v>
      </c>
      <c r="I18" s="378">
        <v>119.83724093023255</v>
      </c>
      <c r="J18" s="788"/>
      <c r="K18" s="788"/>
      <c r="L18" s="484"/>
      <c r="M18" s="728"/>
      <c r="N18" s="728"/>
      <c r="O18" s="728"/>
      <c r="Q18">
        <f>IF(ISNA(VLOOKUP($C18,BN_Det!$C$17:$H$92,6,FALSE)),0,VLOOKUP($C18,BN_Det!$C$17:$H$92,6,FALSE))</f>
        <v>0</v>
      </c>
      <c r="R18">
        <f>IF(ISNA(VLOOKUP($C18,KLO_Det!$C$17:$H$93,6,FALSE)),0,VLOOKUP($C18,KLO_Det!$C$17:$H$93,6,FALSE))</f>
        <v>0</v>
      </c>
      <c r="S18">
        <f>IF(ISNA(VLOOKUP($C18,LLG_Det!$C$17:$H$91,6,FALSE)),0,VLOOKUP($C18,LLG_Det!$C$17:$H$91,6,FALSE))</f>
        <v>0</v>
      </c>
      <c r="T18">
        <f>IF(ISNA(VLOOKUP($C18,MSD_Det!$C$17:$H$91,6,FALSE)),0,VLOOKUP($C18,MSD_Det!$C$17:$H$91,6,FALSE))</f>
        <v>0</v>
      </c>
      <c r="U18">
        <f>IF(ISNA(VLOOKUP($C18,SLE_Det!$C$17:$H$93,6,FALSE)),0,VLOOKUP($C18,SLE_Det!$C$17:$H$93,6,FALSE))</f>
        <v>0</v>
      </c>
    </row>
    <row r="19" spans="3:21" x14ac:dyDescent="0.25">
      <c r="C19" s="343" t="s">
        <v>503</v>
      </c>
      <c r="D19" s="318" t="s">
        <v>498</v>
      </c>
      <c r="E19" s="788"/>
      <c r="F19" s="340" t="s">
        <v>265</v>
      </c>
      <c r="G19" s="18" t="s">
        <v>18</v>
      </c>
      <c r="H19" s="364" t="s">
        <v>42</v>
      </c>
      <c r="I19" s="378">
        <v>316.47747610619462</v>
      </c>
      <c r="J19" s="788"/>
      <c r="K19" s="788"/>
      <c r="L19" s="484"/>
      <c r="M19" s="728"/>
      <c r="N19" s="728"/>
      <c r="O19" s="728"/>
      <c r="Q19">
        <f>IF(ISNA(VLOOKUP($C19,BN_Det!$C$17:$H$92,6,FALSE)),0,VLOOKUP($C19,BN_Det!$C$17:$H$92,6,FALSE))</f>
        <v>0</v>
      </c>
      <c r="R19">
        <f>IF(ISNA(VLOOKUP($C19,KLO_Det!$C$17:$H$93,6,FALSE)),0,VLOOKUP($C19,KLO_Det!$C$17:$H$93,6,FALSE))</f>
        <v>0</v>
      </c>
      <c r="S19">
        <f>IF(ISNA(VLOOKUP($C19,LLG_Det!$C$17:$H$91,6,FALSE)),0,VLOOKUP($C19,LLG_Det!$C$17:$H$91,6,FALSE))</f>
        <v>0</v>
      </c>
      <c r="T19">
        <f>IF(ISNA(VLOOKUP($C19,MSD_Det!$C$17:$H$91,6,FALSE)),0,VLOOKUP($C19,MSD_Det!$C$17:$H$91,6,FALSE))</f>
        <v>0</v>
      </c>
      <c r="U19">
        <f>IF(ISNA(VLOOKUP($C19,SLE_Det!$C$17:$H$93,6,FALSE)),0,VLOOKUP($C19,SLE_Det!$C$17:$H$93,6,FALSE))</f>
        <v>0</v>
      </c>
    </row>
    <row r="20" spans="3:21" x14ac:dyDescent="0.25">
      <c r="C20" s="343" t="s">
        <v>502</v>
      </c>
      <c r="D20" s="318" t="s">
        <v>499</v>
      </c>
      <c r="E20" s="788"/>
      <c r="F20" s="340" t="s">
        <v>265</v>
      </c>
      <c r="G20" s="18" t="s">
        <v>18</v>
      </c>
      <c r="H20" s="364" t="s">
        <v>42</v>
      </c>
      <c r="I20" s="378">
        <v>240.94241415929196</v>
      </c>
      <c r="J20" s="788"/>
      <c r="K20" s="788"/>
      <c r="L20" s="484"/>
      <c r="M20" s="728"/>
      <c r="N20" s="728"/>
      <c r="O20" s="728"/>
      <c r="Q20">
        <f>IF(ISNA(VLOOKUP($C20,BN_Det!$C$17:$H$92,6,FALSE)),0,VLOOKUP($C20,BN_Det!$C$17:$H$92,6,FALSE))</f>
        <v>0</v>
      </c>
      <c r="R20">
        <f>IF(ISNA(VLOOKUP($C20,KLO_Det!$C$17:$H$93,6,FALSE)),0,VLOOKUP($C20,KLO_Det!$C$17:$H$93,6,FALSE))</f>
        <v>1</v>
      </c>
      <c r="S20">
        <f>IF(ISNA(VLOOKUP($C20,LLG_Det!$C$17:$H$91,6,FALSE)),0,VLOOKUP($C20,LLG_Det!$C$17:$H$91,6,FALSE))</f>
        <v>0</v>
      </c>
      <c r="T20">
        <f>IF(ISNA(VLOOKUP($C20,MSD_Det!$C$17:$H$91,6,FALSE)),0,VLOOKUP($C20,MSD_Det!$C$17:$H$91,6,FALSE))</f>
        <v>1</v>
      </c>
      <c r="U20">
        <f>IF(ISNA(VLOOKUP($C20,SLE_Det!$C$17:$H$93,6,FALSE)),0,VLOOKUP($C20,SLE_Det!$C$17:$H$93,6,FALSE))</f>
        <v>0</v>
      </c>
    </row>
    <row r="21" spans="3:21" s="337" customFormat="1" x14ac:dyDescent="0.25">
      <c r="C21" s="715" t="s">
        <v>651</v>
      </c>
      <c r="D21" s="344" t="s">
        <v>652</v>
      </c>
      <c r="E21" s="788"/>
      <c r="F21" s="340" t="s">
        <v>265</v>
      </c>
      <c r="G21" s="18" t="s">
        <v>18</v>
      </c>
      <c r="H21" s="364" t="s">
        <v>42</v>
      </c>
      <c r="I21" s="378">
        <v>339.16535221238934</v>
      </c>
      <c r="J21" s="788"/>
      <c r="K21" s="788"/>
      <c r="L21" s="484"/>
      <c r="M21" s="728"/>
      <c r="N21" s="728"/>
      <c r="O21" s="728"/>
      <c r="Q21">
        <f>IF(ISNA(VLOOKUP($C21,BN_Det!$C$17:$H$92,6,FALSE)),0,VLOOKUP($C21,BN_Det!$C$17:$H$92,6,FALSE))</f>
        <v>0</v>
      </c>
      <c r="R21">
        <f>IF(ISNA(VLOOKUP($C21,KLO_Det!$C$17:$H$93,6,FALSE)),0,VLOOKUP($C21,KLO_Det!$C$17:$H$93,6,FALSE))</f>
        <v>0</v>
      </c>
      <c r="S21">
        <f>IF(ISNA(VLOOKUP($C21,LLG_Det!$C$17:$H$91,6,FALSE)),0,VLOOKUP($C21,LLG_Det!$C$17:$H$91,6,FALSE))</f>
        <v>0</v>
      </c>
      <c r="T21">
        <f>IF(ISNA(VLOOKUP($C21,MSD_Det!$C$17:$H$91,6,FALSE)),0,VLOOKUP($C21,MSD_Det!$C$17:$H$91,6,FALSE))</f>
        <v>0</v>
      </c>
      <c r="U21">
        <f>IF(ISNA(VLOOKUP($C21,SLE_Det!$C$17:$H$93,6,FALSE)),0,VLOOKUP($C21,SLE_Det!$C$17:$H$93,6,FALSE))</f>
        <v>1</v>
      </c>
    </row>
    <row r="22" spans="3:21" x14ac:dyDescent="0.25">
      <c r="C22" s="343" t="s">
        <v>501</v>
      </c>
      <c r="D22" s="318" t="s">
        <v>500</v>
      </c>
      <c r="E22" s="788"/>
      <c r="F22" s="340" t="s">
        <v>265</v>
      </c>
      <c r="G22" s="18" t="s">
        <v>18</v>
      </c>
      <c r="H22" s="364" t="s">
        <v>42</v>
      </c>
      <c r="I22" s="378">
        <v>86.121892093023249</v>
      </c>
      <c r="J22" s="788"/>
      <c r="K22" s="788"/>
      <c r="L22" s="484"/>
      <c r="M22" s="728"/>
      <c r="N22" s="728"/>
      <c r="O22" s="728"/>
      <c r="Q22">
        <f>IF(ISNA(VLOOKUP($C22,BN_Det!$C$17:$H$92,6,FALSE)),0,VLOOKUP($C22,BN_Det!$C$17:$H$92,6,FALSE))</f>
        <v>0</v>
      </c>
      <c r="R22">
        <f>IF(ISNA(VLOOKUP($C22,KLO_Det!$C$17:$H$93,6,FALSE)),0,VLOOKUP($C22,KLO_Det!$C$17:$H$93,6,FALSE))</f>
        <v>0</v>
      </c>
      <c r="S22">
        <f>IF(ISNA(VLOOKUP($C22,LLG_Det!$C$17:$H$91,6,FALSE)),0,VLOOKUP($C22,LLG_Det!$C$17:$H$91,6,FALSE))</f>
        <v>0</v>
      </c>
      <c r="T22">
        <f>IF(ISNA(VLOOKUP($C22,MSD_Det!$C$17:$H$91,6,FALSE)),0,VLOOKUP($C22,MSD_Det!$C$17:$H$91,6,FALSE))</f>
        <v>0</v>
      </c>
      <c r="U22">
        <f>IF(ISNA(VLOOKUP($C22,SLE_Det!$C$17:$H$93,6,FALSE)),0,VLOOKUP($C22,SLE_Det!$C$17:$H$93,6,FALSE))</f>
        <v>0</v>
      </c>
    </row>
    <row r="23" spans="3:21" x14ac:dyDescent="0.25">
      <c r="C23" s="343" t="s">
        <v>383</v>
      </c>
      <c r="D23" s="318" t="s">
        <v>383</v>
      </c>
      <c r="E23" s="788"/>
      <c r="F23" s="340" t="s">
        <v>265</v>
      </c>
      <c r="G23" s="18" t="s">
        <v>18</v>
      </c>
      <c r="H23" s="364" t="s">
        <v>42</v>
      </c>
      <c r="I23" s="378">
        <v>0</v>
      </c>
      <c r="J23" s="788"/>
      <c r="K23" s="788"/>
      <c r="L23" s="484"/>
      <c r="M23" s="728"/>
      <c r="N23" s="728"/>
      <c r="O23" s="728"/>
      <c r="Q23">
        <f>IF(ISNA(VLOOKUP($C23,BN_Det!$C$17:$H$92,6,FALSE)),0,VLOOKUP($C23,BN_Det!$C$17:$H$92,6,FALSE))</f>
        <v>0</v>
      </c>
      <c r="R23">
        <f>IF(ISNA(VLOOKUP($C23,KLO_Det!$C$17:$H$93,6,FALSE)),0,VLOOKUP($C23,KLO_Det!$C$17:$H$93,6,FALSE))</f>
        <v>0</v>
      </c>
      <c r="S23">
        <f>IF(ISNA(VLOOKUP($C23,LLG_Det!$C$17:$H$91,6,FALSE)),0,VLOOKUP($C23,LLG_Det!$C$17:$H$91,6,FALSE))</f>
        <v>0</v>
      </c>
      <c r="T23">
        <f>IF(ISNA(VLOOKUP($C23,MSD_Det!$C$17:$H$91,6,FALSE)),0,VLOOKUP($C23,MSD_Det!$C$17:$H$91,6,FALSE))</f>
        <v>0</v>
      </c>
      <c r="U23">
        <f>IF(ISNA(VLOOKUP($C23,SLE_Det!$C$17:$H$93,6,FALSE)),0,VLOOKUP($C23,SLE_Det!$C$17:$H$93,6,FALSE))</f>
        <v>0</v>
      </c>
    </row>
    <row r="24" spans="3:21" x14ac:dyDescent="0.25">
      <c r="C24" s="343" t="s">
        <v>361</v>
      </c>
      <c r="D24" s="318" t="s">
        <v>352</v>
      </c>
      <c r="E24" s="788"/>
      <c r="F24" s="340" t="s">
        <v>265</v>
      </c>
      <c r="G24" s="18" t="s">
        <v>18</v>
      </c>
      <c r="H24" s="364" t="s">
        <v>42</v>
      </c>
      <c r="I24" s="378">
        <v>100.94548318584069</v>
      </c>
      <c r="J24" s="788"/>
      <c r="K24" s="788"/>
      <c r="L24" s="484"/>
      <c r="M24" s="728"/>
      <c r="N24" s="728"/>
      <c r="O24" s="728"/>
      <c r="Q24">
        <f>IF(ISNA(VLOOKUP($C24,BN_Det!$C$17:$H$92,6,FALSE)),0,VLOOKUP($C24,BN_Det!$C$17:$H$92,6,FALSE))</f>
        <v>0</v>
      </c>
      <c r="R24">
        <f>IF(ISNA(VLOOKUP($C24,KLO_Det!$C$17:$H$93,6,FALSE)),0,VLOOKUP($C24,KLO_Det!$C$17:$H$93,6,FALSE))</f>
        <v>0</v>
      </c>
      <c r="S24">
        <f>IF(ISNA(VLOOKUP($C24,LLG_Det!$C$17:$H$91,6,FALSE)),0,VLOOKUP($C24,LLG_Det!$C$17:$H$91,6,FALSE))</f>
        <v>0</v>
      </c>
      <c r="T24">
        <f>IF(ISNA(VLOOKUP($C24,MSD_Det!$C$17:$H$91,6,FALSE)),0,VLOOKUP($C24,MSD_Det!$C$17:$H$91,6,FALSE))</f>
        <v>4</v>
      </c>
      <c r="U24">
        <f>IF(ISNA(VLOOKUP($C24,SLE_Det!$C$17:$H$93,6,FALSE)),0,VLOOKUP($C24,SLE_Det!$C$17:$H$93,6,FALSE))</f>
        <v>0</v>
      </c>
    </row>
    <row r="25" spans="3:21" x14ac:dyDescent="0.25">
      <c r="C25" s="343" t="s">
        <v>348</v>
      </c>
      <c r="D25" s="318" t="s">
        <v>371</v>
      </c>
      <c r="E25" s="788"/>
      <c r="F25" s="340" t="s">
        <v>265</v>
      </c>
      <c r="G25" s="18" t="s">
        <v>18</v>
      </c>
      <c r="H25" s="364" t="s">
        <v>42</v>
      </c>
      <c r="I25" s="378">
        <v>7.2299327433628298</v>
      </c>
      <c r="J25" s="788"/>
      <c r="K25" s="788"/>
      <c r="L25" s="484"/>
      <c r="M25" s="728"/>
      <c r="N25" s="728"/>
      <c r="O25" s="728"/>
      <c r="Q25">
        <f>IF(ISNA(VLOOKUP($C25,BN_Det!$C$17:$H$92,6,FALSE)),0,VLOOKUP($C25,BN_Det!$C$17:$H$92,6,FALSE))</f>
        <v>0</v>
      </c>
      <c r="R25">
        <f>IF(ISNA(VLOOKUP($C25,KLO_Det!$C$17:$H$93,6,FALSE)),0,VLOOKUP($C25,KLO_Det!$C$17:$H$93,6,FALSE))</f>
        <v>0</v>
      </c>
      <c r="S25">
        <f>IF(ISNA(VLOOKUP($C25,LLG_Det!$C$17:$H$91,6,FALSE)),0,VLOOKUP($C25,LLG_Det!$C$17:$H$91,6,FALSE))</f>
        <v>0</v>
      </c>
      <c r="T25">
        <f>IF(ISNA(VLOOKUP($C25,MSD_Det!$C$17:$H$91,6,FALSE)),0,VLOOKUP($C25,MSD_Det!$C$17:$H$91,6,FALSE))</f>
        <v>6</v>
      </c>
      <c r="U25">
        <f>IF(ISNA(VLOOKUP($C25,SLE_Det!$C$17:$H$93,6,FALSE)),0,VLOOKUP($C25,SLE_Det!$C$17:$H$93,6,FALSE))</f>
        <v>0</v>
      </c>
    </row>
    <row r="26" spans="3:21" x14ac:dyDescent="0.25">
      <c r="C26" s="343" t="s">
        <v>347</v>
      </c>
      <c r="D26" s="318" t="s">
        <v>347</v>
      </c>
      <c r="E26" s="788"/>
      <c r="F26" s="340" t="s">
        <v>265</v>
      </c>
      <c r="G26" s="18" t="s">
        <v>18</v>
      </c>
      <c r="H26" s="364" t="s">
        <v>42</v>
      </c>
      <c r="I26" s="378">
        <v>0</v>
      </c>
      <c r="J26" s="788"/>
      <c r="K26" s="788"/>
      <c r="L26" s="484"/>
      <c r="M26" s="728"/>
      <c r="N26" s="728"/>
      <c r="O26" s="728"/>
      <c r="Q26">
        <f>IF(ISNA(VLOOKUP($C26,BN_Det!$C$17:$H$92,6,FALSE)),0,VLOOKUP($C26,BN_Det!$C$17:$H$92,6,FALSE))</f>
        <v>0</v>
      </c>
      <c r="R26">
        <f>IF(ISNA(VLOOKUP($C26,KLO_Det!$C$17:$H$93,6,FALSE)),0,VLOOKUP($C26,KLO_Det!$C$17:$H$93,6,FALSE))</f>
        <v>0</v>
      </c>
      <c r="S26">
        <f>IF(ISNA(VLOOKUP($C26,LLG_Det!$C$17:$H$91,6,FALSE)),0,VLOOKUP($C26,LLG_Det!$C$17:$H$91,6,FALSE))</f>
        <v>0</v>
      </c>
      <c r="T26">
        <f>IF(ISNA(VLOOKUP($C26,MSD_Det!$C$17:$H$91,6,FALSE)),0,VLOOKUP($C26,MSD_Det!$C$17:$H$91,6,FALSE))</f>
        <v>0</v>
      </c>
      <c r="U26">
        <f>IF(ISNA(VLOOKUP($C26,SLE_Det!$C$17:$H$93,6,FALSE)),0,VLOOKUP($C26,SLE_Det!$C$17:$H$93,6,FALSE))</f>
        <v>0</v>
      </c>
    </row>
    <row r="27" spans="3:21" x14ac:dyDescent="0.25">
      <c r="C27" s="343" t="s">
        <v>349</v>
      </c>
      <c r="D27" s="318" t="s">
        <v>349</v>
      </c>
      <c r="E27" s="788"/>
      <c r="F27" s="340" t="s">
        <v>265</v>
      </c>
      <c r="G27" s="18" t="s">
        <v>18</v>
      </c>
      <c r="H27" s="364" t="s">
        <v>42</v>
      </c>
      <c r="I27" s="378">
        <v>0</v>
      </c>
      <c r="J27" s="788"/>
      <c r="K27" s="788"/>
      <c r="L27" s="484"/>
      <c r="M27" s="728"/>
      <c r="N27" s="728"/>
      <c r="O27" s="728"/>
      <c r="Q27">
        <f>IF(ISNA(VLOOKUP($C27,BN_Det!$C$17:$H$92,6,FALSE)),0,VLOOKUP($C27,BN_Det!$C$17:$H$92,6,FALSE))</f>
        <v>0</v>
      </c>
      <c r="R27">
        <f>IF(ISNA(VLOOKUP($C27,KLO_Det!$C$17:$H$93,6,FALSE)),0,VLOOKUP($C27,KLO_Det!$C$17:$H$93,6,FALSE))</f>
        <v>0</v>
      </c>
      <c r="S27">
        <f>IF(ISNA(VLOOKUP($C27,LLG_Det!$C$17:$H$91,6,FALSE)),0,VLOOKUP($C27,LLG_Det!$C$17:$H$91,6,FALSE))</f>
        <v>0</v>
      </c>
      <c r="T27">
        <f>IF(ISNA(VLOOKUP($C27,MSD_Det!$C$17:$H$91,6,FALSE)),0,VLOOKUP($C27,MSD_Det!$C$17:$H$91,6,FALSE))</f>
        <v>1</v>
      </c>
      <c r="U27">
        <f>IF(ISNA(VLOOKUP($C27,SLE_Det!$C$17:$H$93,6,FALSE)),0,VLOOKUP($C27,SLE_Det!$C$17:$H$93,6,FALSE))</f>
        <v>0</v>
      </c>
    </row>
    <row r="28" spans="3:21" x14ac:dyDescent="0.25">
      <c r="C28" s="343" t="s">
        <v>488</v>
      </c>
      <c r="D28" s="318" t="s">
        <v>488</v>
      </c>
      <c r="E28" s="788"/>
      <c r="F28" s="340" t="s">
        <v>265</v>
      </c>
      <c r="G28" s="18" t="s">
        <v>18</v>
      </c>
      <c r="H28" s="364" t="s">
        <v>42</v>
      </c>
      <c r="I28" s="378">
        <v>25.624564601769904</v>
      </c>
      <c r="J28" s="788"/>
      <c r="K28" s="788"/>
      <c r="L28" s="484"/>
      <c r="M28" s="728"/>
      <c r="N28" s="728"/>
      <c r="O28" s="728"/>
      <c r="Q28">
        <f>IF(ISNA(VLOOKUP($C28,BN_Det!$C$17:$H$92,6,FALSE)),0,VLOOKUP($C28,BN_Det!$C$17:$H$92,6,FALSE))</f>
        <v>6</v>
      </c>
      <c r="R28">
        <f>IF(ISNA(VLOOKUP($C28,KLO_Det!$C$17:$H$93,6,FALSE)),0,VLOOKUP($C28,KLO_Det!$C$17:$H$93,6,FALSE))</f>
        <v>2</v>
      </c>
      <c r="S28">
        <f>IF(ISNA(VLOOKUP($C28,LLG_Det!$C$17:$H$91,6,FALSE)),0,VLOOKUP($C28,LLG_Det!$C$17:$H$91,6,FALSE))</f>
        <v>1</v>
      </c>
      <c r="T28">
        <f>IF(ISNA(VLOOKUP($C28,MSD_Det!$C$17:$H$91,6,FALSE)),0,VLOOKUP($C28,MSD_Det!$C$17:$H$91,6,FALSE))</f>
        <v>0</v>
      </c>
      <c r="U28">
        <f>IF(ISNA(VLOOKUP($C28,SLE_Det!$C$17:$H$93,6,FALSE)),0,VLOOKUP($C28,SLE_Det!$C$17:$H$93,6,FALSE))</f>
        <v>2</v>
      </c>
    </row>
    <row r="29" spans="3:21" x14ac:dyDescent="0.25">
      <c r="C29" s="343" t="s">
        <v>477</v>
      </c>
      <c r="D29" s="318" t="s">
        <v>478</v>
      </c>
      <c r="E29" s="788"/>
      <c r="F29" s="340" t="s">
        <v>265</v>
      </c>
      <c r="G29" s="18" t="s">
        <v>18</v>
      </c>
      <c r="H29" s="364" t="s">
        <v>42</v>
      </c>
      <c r="I29" s="378">
        <v>0</v>
      </c>
      <c r="J29" s="788"/>
      <c r="K29" s="788"/>
      <c r="L29" s="484"/>
      <c r="M29" s="728"/>
      <c r="N29" s="728"/>
      <c r="O29" s="728"/>
      <c r="Q29">
        <f>IF(ISNA(VLOOKUP($C29,BN_Det!$C$17:$H$92,6,FALSE)),0,VLOOKUP($C29,BN_Det!$C$17:$H$92,6,FALSE))</f>
        <v>8</v>
      </c>
      <c r="R29">
        <f>IF(ISNA(VLOOKUP($C29,KLO_Det!$C$17:$H$93,6,FALSE)),0,VLOOKUP($C29,KLO_Det!$C$17:$H$93,6,FALSE))</f>
        <v>7</v>
      </c>
      <c r="S29">
        <f>IF(ISNA(VLOOKUP($C29,LLG_Det!$C$17:$H$91,6,FALSE)),0,VLOOKUP($C29,LLG_Det!$C$17:$H$91,6,FALSE))</f>
        <v>7</v>
      </c>
      <c r="T29">
        <f>IF(ISNA(VLOOKUP($C29,MSD_Det!$C$17:$H$91,6,FALSE)),0,VLOOKUP($C29,MSD_Det!$C$17:$H$91,6,FALSE))</f>
        <v>6</v>
      </c>
      <c r="U29">
        <f>IF(ISNA(VLOOKUP($C29,SLE_Det!$C$17:$H$93,6,FALSE)),0,VLOOKUP($C29,SLE_Det!$C$17:$H$93,6,FALSE))</f>
        <v>7</v>
      </c>
    </row>
    <row r="30" spans="3:21" x14ac:dyDescent="0.25">
      <c r="C30" s="343" t="s">
        <v>350</v>
      </c>
      <c r="D30" s="318" t="s">
        <v>350</v>
      </c>
      <c r="E30" s="788"/>
      <c r="F30" s="340" t="s">
        <v>265</v>
      </c>
      <c r="G30" s="18" t="s">
        <v>18</v>
      </c>
      <c r="H30" s="364" t="s">
        <v>42</v>
      </c>
      <c r="I30" s="378">
        <v>0.58488495575221222</v>
      </c>
      <c r="J30" s="788"/>
      <c r="K30" s="788"/>
      <c r="L30" s="484"/>
      <c r="M30" s="728"/>
      <c r="N30" s="728"/>
      <c r="O30" s="728"/>
      <c r="Q30">
        <f>IF(ISNA(VLOOKUP($C30,BN_Det!$C$17:$H$92,6,FALSE)),0,VLOOKUP($C30,BN_Det!$C$17:$H$92,6,FALSE))</f>
        <v>12</v>
      </c>
      <c r="R30">
        <f>IF(ISNA(VLOOKUP($C30,KLO_Det!$C$17:$H$93,6,FALSE)),0,VLOOKUP($C30,KLO_Det!$C$17:$H$93,6,FALSE))</f>
        <v>2</v>
      </c>
      <c r="S30">
        <f>IF(ISNA(VLOOKUP($C30,LLG_Det!$C$17:$H$91,6,FALSE)),0,VLOOKUP($C30,LLG_Det!$C$17:$H$91,6,FALSE))</f>
        <v>1</v>
      </c>
      <c r="T30">
        <f>IF(ISNA(VLOOKUP($C30,MSD_Det!$C$17:$H$91,6,FALSE)),0,VLOOKUP($C30,MSD_Det!$C$17:$H$91,6,FALSE))</f>
        <v>12</v>
      </c>
      <c r="U30">
        <f>IF(ISNA(VLOOKUP($C30,SLE_Det!$C$17:$H$93,6,FALSE)),0,VLOOKUP($C30,SLE_Det!$C$17:$H$93,6,FALSE))</f>
        <v>9</v>
      </c>
    </row>
    <row r="31" spans="3:21" x14ac:dyDescent="0.25">
      <c r="C31" s="343" t="s">
        <v>353</v>
      </c>
      <c r="D31" s="343" t="s">
        <v>353</v>
      </c>
      <c r="E31" s="788"/>
      <c r="F31" s="340" t="s">
        <v>265</v>
      </c>
      <c r="G31" s="18" t="s">
        <v>18</v>
      </c>
      <c r="H31" s="364" t="s">
        <v>42</v>
      </c>
      <c r="I31" s="378">
        <v>24.73714976744186</v>
      </c>
      <c r="J31" s="788"/>
      <c r="K31" s="788"/>
      <c r="L31" s="484"/>
      <c r="M31" s="728"/>
      <c r="N31" s="728"/>
      <c r="O31" s="728"/>
      <c r="Q31">
        <f>IF(ISNA(VLOOKUP($C31,BN_Det!$C$17:$H$92,6,FALSE)),0,VLOOKUP($C31,BN_Det!$C$17:$H$92,6,FALSE))</f>
        <v>0</v>
      </c>
      <c r="R31">
        <f>IF(ISNA(VLOOKUP($C31,KLO_Det!$C$17:$H$93,6,FALSE)),0,VLOOKUP($C31,KLO_Det!$C$17:$H$93,6,FALSE))</f>
        <v>0</v>
      </c>
      <c r="S31">
        <f>IF(ISNA(VLOOKUP($C31,LLG_Det!$C$17:$H$91,6,FALSE)),0,VLOOKUP($C31,LLG_Det!$C$17:$H$91,6,FALSE))</f>
        <v>0</v>
      </c>
      <c r="T31">
        <f>IF(ISNA(VLOOKUP($C31,MSD_Det!$C$17:$H$91,6,FALSE)),0,VLOOKUP($C31,MSD_Det!$C$17:$H$91,6,FALSE))</f>
        <v>0</v>
      </c>
      <c r="U31">
        <f>IF(ISNA(VLOOKUP($C31,SLE_Det!$C$17:$H$93,6,FALSE)),0,VLOOKUP($C31,SLE_Det!$C$17:$H$93,6,FALSE))</f>
        <v>0</v>
      </c>
    </row>
    <row r="32" spans="3:21" x14ac:dyDescent="0.25">
      <c r="C32" s="343" t="s">
        <v>225</v>
      </c>
      <c r="D32" s="318" t="s">
        <v>224</v>
      </c>
      <c r="E32" s="788"/>
      <c r="F32" s="340" t="s">
        <v>265</v>
      </c>
      <c r="G32" s="18" t="s">
        <v>18</v>
      </c>
      <c r="H32" s="364" t="s">
        <v>42</v>
      </c>
      <c r="I32" s="378">
        <v>88.538375221238923</v>
      </c>
      <c r="J32" s="789"/>
      <c r="K32" s="788"/>
      <c r="L32" s="484"/>
      <c r="M32" s="728"/>
      <c r="N32" s="728"/>
      <c r="O32" s="728"/>
      <c r="Q32">
        <f>IF(ISNA(VLOOKUP($C32,BN_Det!$C$17:$H$92,6,FALSE)),0,VLOOKUP($C32,BN_Det!$C$17:$H$92,6,FALSE))</f>
        <v>2</v>
      </c>
      <c r="R32">
        <f>IF(ISNA(VLOOKUP($C32,KLO_Det!$C$17:$H$93,6,FALSE)),0,VLOOKUP($C32,KLO_Det!$C$17:$H$93,6,FALSE))</f>
        <v>2</v>
      </c>
      <c r="S32">
        <f>IF(ISNA(VLOOKUP($C32,LLG_Det!$C$17:$H$91,6,FALSE)),0,VLOOKUP($C32,LLG_Det!$C$17:$H$91,6,FALSE))</f>
        <v>1</v>
      </c>
      <c r="T32">
        <f>IF(ISNA(VLOOKUP($C32,MSD_Det!$C$17:$H$91,6,FALSE)),0,VLOOKUP($C32,MSD_Det!$C$17:$H$91,6,FALSE))</f>
        <v>1</v>
      </c>
      <c r="U32">
        <f>IF(ISNA(VLOOKUP($C32,SLE_Det!$C$17:$H$93,6,FALSE)),0,VLOOKUP($C32,SLE_Det!$C$17:$H$93,6,FALSE))</f>
        <v>2</v>
      </c>
    </row>
    <row r="33" spans="2:21" x14ac:dyDescent="0.25">
      <c r="C33" s="343" t="s">
        <v>228</v>
      </c>
      <c r="D33" s="318" t="s">
        <v>229</v>
      </c>
      <c r="E33" s="788"/>
      <c r="F33" s="340" t="s">
        <v>265</v>
      </c>
      <c r="G33" s="18" t="s">
        <v>18</v>
      </c>
      <c r="H33" s="364" t="s">
        <v>42</v>
      </c>
      <c r="I33" s="378">
        <v>0</v>
      </c>
      <c r="J33" s="788"/>
      <c r="K33" s="788"/>
      <c r="L33" s="484"/>
      <c r="M33" s="728"/>
      <c r="N33" s="728"/>
      <c r="O33" s="728"/>
      <c r="Q33">
        <f>IF(ISNA(VLOOKUP($C33,BN_Det!$C$17:$H$92,6,FALSE)),0,VLOOKUP($C33,BN_Det!$C$17:$H$92,6,FALSE))</f>
        <v>0</v>
      </c>
      <c r="R33">
        <f>IF(ISNA(VLOOKUP($C33,KLO_Det!$C$17:$H$93,6,FALSE)),0,VLOOKUP($C33,KLO_Det!$C$17:$H$93,6,FALSE))</f>
        <v>0</v>
      </c>
      <c r="S33">
        <f>IF(ISNA(VLOOKUP($C33,LLG_Det!$C$17:$H$91,6,FALSE)),0,VLOOKUP($C33,LLG_Det!$C$17:$H$91,6,FALSE))</f>
        <v>0</v>
      </c>
      <c r="T33">
        <f>IF(ISNA(VLOOKUP($C33,MSD_Det!$C$17:$H$91,6,FALSE)),0,VLOOKUP($C33,MSD_Det!$C$17:$H$91,6,FALSE))</f>
        <v>1</v>
      </c>
      <c r="U33">
        <f>IF(ISNA(VLOOKUP($C33,SLE_Det!$C$17:$H$93,6,FALSE)),0,VLOOKUP($C33,SLE_Det!$C$17:$H$93,6,FALSE))</f>
        <v>0</v>
      </c>
    </row>
    <row r="34" spans="2:21" x14ac:dyDescent="0.25">
      <c r="C34" s="343" t="s">
        <v>481</v>
      </c>
      <c r="D34" s="318" t="s">
        <v>482</v>
      </c>
      <c r="E34" s="788"/>
      <c r="F34" s="340" t="s">
        <v>265</v>
      </c>
      <c r="G34" s="18" t="s">
        <v>18</v>
      </c>
      <c r="H34" s="364" t="s">
        <v>42</v>
      </c>
      <c r="I34" s="378">
        <v>0</v>
      </c>
      <c r="J34" s="788"/>
      <c r="K34" s="788"/>
      <c r="L34" s="484"/>
      <c r="M34" s="728"/>
      <c r="N34" s="728"/>
      <c r="O34" s="728"/>
      <c r="Q34">
        <f>IF(ISNA(VLOOKUP($C34,BN_Det!$C$17:$H$92,6,FALSE)),0,VLOOKUP($C34,BN_Det!$C$17:$H$92,6,FALSE))</f>
        <v>0</v>
      </c>
      <c r="R34">
        <f>IF(ISNA(VLOOKUP($C34,KLO_Det!$C$17:$H$93,6,FALSE)),0,VLOOKUP($C34,KLO_Det!$C$17:$H$93,6,FALSE))</f>
        <v>0</v>
      </c>
      <c r="S34">
        <f>IF(ISNA(VLOOKUP($C34,LLG_Det!$C$17:$H$91,6,FALSE)),0,VLOOKUP($C34,LLG_Det!$C$17:$H$91,6,FALSE))</f>
        <v>0</v>
      </c>
      <c r="T34">
        <f>IF(ISNA(VLOOKUP($C34,MSD_Det!$C$17:$H$91,6,FALSE)),0,VLOOKUP($C34,MSD_Det!$C$17:$H$91,6,FALSE))</f>
        <v>0</v>
      </c>
      <c r="U34">
        <f>IF(ISNA(VLOOKUP($C34,SLE_Det!$C$17:$H$93,6,FALSE)),0,VLOOKUP($C34,SLE_Det!$C$17:$H$93,6,FALSE))</f>
        <v>0</v>
      </c>
    </row>
    <row r="35" spans="2:21" x14ac:dyDescent="0.25">
      <c r="C35" s="343" t="s">
        <v>375</v>
      </c>
      <c r="D35" s="318" t="s">
        <v>370</v>
      </c>
      <c r="E35" s="788"/>
      <c r="F35" s="340" t="s">
        <v>265</v>
      </c>
      <c r="G35" s="18" t="s">
        <v>18</v>
      </c>
      <c r="H35" s="364" t="s">
        <v>42</v>
      </c>
      <c r="I35" s="378">
        <v>214.73768141592916</v>
      </c>
      <c r="J35" s="789"/>
      <c r="K35" s="788"/>
      <c r="L35" s="484"/>
      <c r="M35" s="728"/>
      <c r="N35" s="728"/>
      <c r="O35" s="728"/>
      <c r="Q35">
        <f>IF(ISNA(VLOOKUP($C35,BN_Det!$C$17:$H$92,6,FALSE)),0,VLOOKUP($C35,BN_Det!$C$17:$H$92,6,FALSE))</f>
        <v>0</v>
      </c>
      <c r="R35">
        <f>IF(ISNA(VLOOKUP($C35,KLO_Det!$C$17:$H$93,6,FALSE)),0,VLOOKUP($C35,KLO_Det!$C$17:$H$93,6,FALSE))</f>
        <v>0</v>
      </c>
      <c r="S35">
        <f>IF(ISNA(VLOOKUP($C35,LLG_Det!$C$17:$H$91,6,FALSE)),0,VLOOKUP($C35,LLG_Det!$C$17:$H$91,6,FALSE))</f>
        <v>0</v>
      </c>
      <c r="T35">
        <f>IF(ISNA(VLOOKUP($C35,MSD_Det!$C$17:$H$91,6,FALSE)),0,VLOOKUP($C35,MSD_Det!$C$17:$H$91,6,FALSE))</f>
        <v>0</v>
      </c>
      <c r="U35">
        <f>IF(ISNA(VLOOKUP($C35,SLE_Det!$C$17:$H$93,6,FALSE)),0,VLOOKUP($C35,SLE_Det!$C$17:$H$93,6,FALSE))</f>
        <v>1</v>
      </c>
    </row>
    <row r="36" spans="2:21" x14ac:dyDescent="0.25">
      <c r="C36" s="343" t="s">
        <v>374</v>
      </c>
      <c r="D36" s="318" t="s">
        <v>386</v>
      </c>
      <c r="E36" s="788"/>
      <c r="F36" s="340" t="s">
        <v>265</v>
      </c>
      <c r="G36" s="18" t="s">
        <v>18</v>
      </c>
      <c r="H36" s="364" t="s">
        <v>42</v>
      </c>
      <c r="I36" s="378">
        <v>164.69749581395345</v>
      </c>
      <c r="J36" s="789"/>
      <c r="K36" s="788"/>
      <c r="L36" s="485"/>
      <c r="M36" s="728"/>
      <c r="N36" s="728"/>
      <c r="O36" s="728"/>
      <c r="Q36">
        <f>IF(ISNA(VLOOKUP($C36,BN_Det!$C$17:$H$92,6,FALSE)),0,VLOOKUP($C36,BN_Det!$C$17:$H$92,6,FALSE))</f>
        <v>0</v>
      </c>
      <c r="R36">
        <f>IF(ISNA(VLOOKUP($C36,KLO_Det!$C$17:$H$93,6,FALSE)),0,VLOOKUP($C36,KLO_Det!$C$17:$H$93,6,FALSE))</f>
        <v>0</v>
      </c>
      <c r="S36">
        <f>IF(ISNA(VLOOKUP($C36,LLG_Det!$C$17:$H$91,6,FALSE)),0,VLOOKUP($C36,LLG_Det!$C$17:$H$91,6,FALSE))</f>
        <v>0</v>
      </c>
      <c r="T36">
        <f>IF(ISNA(VLOOKUP($C36,MSD_Det!$C$17:$H$91,6,FALSE)),0,VLOOKUP($C36,MSD_Det!$C$17:$H$91,6,FALSE))</f>
        <v>0</v>
      </c>
      <c r="U36">
        <f>IF(ISNA(VLOOKUP($C36,SLE_Det!$C$17:$H$93,6,FALSE)),0,VLOOKUP($C36,SLE_Det!$C$17:$H$93,6,FALSE))</f>
        <v>0</v>
      </c>
    </row>
    <row r="37" spans="2:21" x14ac:dyDescent="0.25">
      <c r="C37" s="343" t="s">
        <v>289</v>
      </c>
      <c r="D37" s="343" t="s">
        <v>485</v>
      </c>
      <c r="E37" s="788"/>
      <c r="F37" s="340" t="s">
        <v>265</v>
      </c>
      <c r="G37" s="18" t="s">
        <v>18</v>
      </c>
      <c r="H37" s="364" t="s">
        <v>42</v>
      </c>
      <c r="I37" s="378">
        <v>348.13767610619459</v>
      </c>
      <c r="J37" s="789"/>
      <c r="K37" s="788"/>
      <c r="L37" s="484"/>
      <c r="M37" s="728"/>
      <c r="N37" s="728"/>
      <c r="O37" s="728"/>
      <c r="Q37">
        <f>IF(ISNA(VLOOKUP($C37,BN_Det!$C$17:$H$92,6,FALSE)),0,VLOOKUP($C37,BN_Det!$C$17:$H$92,6,FALSE))</f>
        <v>0</v>
      </c>
      <c r="R37">
        <f>IF(ISNA(VLOOKUP($C37,KLO_Det!$C$17:$H$93,6,FALSE)),0,VLOOKUP($C37,KLO_Det!$C$17:$H$93,6,FALSE))</f>
        <v>0</v>
      </c>
      <c r="S37">
        <f>IF(ISNA(VLOOKUP($C37,LLG_Det!$C$17:$H$91,6,FALSE)),0,VLOOKUP($C37,LLG_Det!$C$17:$H$91,6,FALSE))</f>
        <v>0</v>
      </c>
      <c r="T37">
        <f>IF(ISNA(VLOOKUP($C37,MSD_Det!$C$17:$H$91,6,FALSE)),0,VLOOKUP($C37,MSD_Det!$C$17:$H$91,6,FALSE))</f>
        <v>1</v>
      </c>
      <c r="U37">
        <f>IF(ISNA(VLOOKUP($C37,SLE_Det!$C$17:$H$93,6,FALSE)),0,VLOOKUP($C37,SLE_Det!$C$17:$H$93,6,FALSE))</f>
        <v>0</v>
      </c>
    </row>
    <row r="38" spans="2:21" x14ac:dyDescent="0.25">
      <c r="C38" s="343" t="s">
        <v>319</v>
      </c>
      <c r="D38" s="318" t="s">
        <v>291</v>
      </c>
      <c r="E38" s="788"/>
      <c r="F38" s="340" t="s">
        <v>265</v>
      </c>
      <c r="G38" s="18" t="s">
        <v>18</v>
      </c>
      <c r="H38" s="364" t="s">
        <v>42</v>
      </c>
      <c r="I38" s="378">
        <v>33.716340465116275</v>
      </c>
      <c r="J38" s="788"/>
      <c r="K38" s="788"/>
      <c r="L38" s="484"/>
      <c r="M38" s="728"/>
      <c r="N38" s="728"/>
      <c r="O38" s="728"/>
      <c r="Q38">
        <f>IF(ISNA(VLOOKUP($C38,BN_Det!$C$17:$H$92,6,FALSE)),0,VLOOKUP($C38,BN_Det!$C$17:$H$92,6,FALSE))</f>
        <v>1780</v>
      </c>
      <c r="R38">
        <f>IF(ISNA(VLOOKUP($C38,KLO_Det!$C$17:$H$93,6,FALSE)),0,VLOOKUP($C38,KLO_Det!$C$17:$H$93,6,FALSE))</f>
        <v>1080</v>
      </c>
      <c r="S38">
        <f>IF(ISNA(VLOOKUP($C38,LLG_Det!$C$17:$H$91,6,FALSE)),0,VLOOKUP($C38,LLG_Det!$C$17:$H$91,6,FALSE))</f>
        <v>610</v>
      </c>
      <c r="T38">
        <f>IF(ISNA(VLOOKUP($C38,MSD_Det!$C$17:$H$91,6,FALSE)),0,VLOOKUP($C38,MSD_Det!$C$17:$H$91,6,FALSE))</f>
        <v>380.4</v>
      </c>
      <c r="U38">
        <f>IF(ISNA(VLOOKUP($C38,SLE_Det!$C$17:$H$93,6,FALSE)),0,VLOOKUP($C38,SLE_Det!$C$17:$H$93,6,FALSE))</f>
        <v>410</v>
      </c>
    </row>
    <row r="39" spans="2:21" x14ac:dyDescent="0.25">
      <c r="C39" s="343" t="s">
        <v>319</v>
      </c>
      <c r="D39" s="318" t="s">
        <v>292</v>
      </c>
      <c r="E39" s="788"/>
      <c r="F39" s="340" t="s">
        <v>265</v>
      </c>
      <c r="G39" s="18" t="s">
        <v>18</v>
      </c>
      <c r="H39" s="364" t="s">
        <v>42</v>
      </c>
      <c r="I39" s="378">
        <v>10.421017674418604</v>
      </c>
      <c r="J39" s="788"/>
      <c r="K39" s="788"/>
      <c r="L39" s="484"/>
      <c r="M39" s="728"/>
      <c r="N39" s="728"/>
      <c r="O39" s="728"/>
    </row>
    <row r="40" spans="2:21" x14ac:dyDescent="0.25">
      <c r="C40" s="343" t="s">
        <v>319</v>
      </c>
      <c r="D40" s="318" t="s">
        <v>290</v>
      </c>
      <c r="E40" s="788"/>
      <c r="F40" s="340" t="s">
        <v>265</v>
      </c>
      <c r="G40" s="18" t="s">
        <v>18</v>
      </c>
      <c r="H40" s="364" t="s">
        <v>42</v>
      </c>
      <c r="I40" s="378">
        <v>1.775013953488372</v>
      </c>
      <c r="J40" s="788"/>
      <c r="K40" s="788"/>
      <c r="L40" s="484"/>
      <c r="M40" s="728"/>
      <c r="N40" s="728"/>
      <c r="O40" s="728"/>
    </row>
    <row r="41" spans="2:21" x14ac:dyDescent="0.25">
      <c r="C41" s="343" t="s">
        <v>704</v>
      </c>
      <c r="D41" s="318" t="s">
        <v>705</v>
      </c>
      <c r="E41" s="788"/>
      <c r="F41" s="340" t="s">
        <v>265</v>
      </c>
      <c r="G41" s="18" t="s">
        <v>18</v>
      </c>
      <c r="H41" s="364" t="s">
        <v>42</v>
      </c>
      <c r="I41" s="716">
        <v>4.7168141592920348E-2</v>
      </c>
      <c r="J41" s="790"/>
      <c r="K41" s="788"/>
      <c r="L41" s="484"/>
      <c r="M41" s="728"/>
      <c r="N41" s="728"/>
      <c r="O41" s="728"/>
      <c r="Q41">
        <f>IF(ISNA(VLOOKUP($C41,BN_Det!$C$17:$H$92,6,FALSE)),0,VLOOKUP($C41,BN_Det!$C$17:$H$92,6,FALSE))</f>
        <v>1228</v>
      </c>
      <c r="R41">
        <f>IF(ISNA(VLOOKUP($C41,KLO_Det!$C$17:$H$93,6,FALSE)),0,VLOOKUP($C41,KLO_Det!$C$17:$H$93,6,FALSE))</f>
        <v>1450</v>
      </c>
      <c r="S41">
        <f>IF(ISNA(VLOOKUP($C41,LLG_Det!$C$17:$H$91,6,FALSE)),0,VLOOKUP($C41,LLG_Det!$C$17:$H$91,6,FALSE))</f>
        <v>1600</v>
      </c>
      <c r="T41">
        <f>IF(ISNA(VLOOKUP($C41,MSD_Det!$C$17:$H$91,6,FALSE)),0,VLOOKUP($C41,MSD_Det!$C$17:$H$91,6,FALSE))</f>
        <v>300</v>
      </c>
      <c r="U41">
        <f>IF(ISNA(VLOOKUP($C41,SLE_Det!$C$17:$H$93,6,FALSE)),0,VLOOKUP($C41,SLE_Det!$C$17:$H$93,6,FALSE))</f>
        <v>400</v>
      </c>
    </row>
    <row r="42" spans="2:21" x14ac:dyDescent="0.25">
      <c r="C42" s="343" t="s">
        <v>479</v>
      </c>
      <c r="D42" s="318" t="s">
        <v>480</v>
      </c>
      <c r="E42" s="788"/>
      <c r="F42" s="340" t="s">
        <v>265</v>
      </c>
      <c r="G42" s="18" t="s">
        <v>18</v>
      </c>
      <c r="H42" s="364" t="s">
        <v>42</v>
      </c>
      <c r="I42" s="378">
        <v>0</v>
      </c>
      <c r="J42" s="788"/>
      <c r="K42" s="788"/>
      <c r="L42" s="484"/>
      <c r="M42" s="728"/>
      <c r="N42" s="728"/>
      <c r="O42" s="728"/>
      <c r="Q42">
        <f>IF(ISNA(VLOOKUP($C42,BN_Det!$C$17:$H$92,6,FALSE)),0,VLOOKUP($C42,BN_Det!$C$17:$H$92,6,FALSE))</f>
        <v>10</v>
      </c>
      <c r="R42">
        <f>IF(ISNA(VLOOKUP($C42,KLO_Det!$C$17:$H$93,6,FALSE)),0,VLOOKUP($C42,KLO_Det!$C$17:$H$93,6,FALSE))</f>
        <v>6</v>
      </c>
      <c r="S42">
        <f>IF(ISNA(VLOOKUP($C42,LLG_Det!$C$17:$H$91,6,FALSE)),0,VLOOKUP($C42,LLG_Det!$C$17:$H$91,6,FALSE))</f>
        <v>6</v>
      </c>
      <c r="T42">
        <f>IF(ISNA(VLOOKUP($C42,MSD_Det!$C$17:$H$91,6,FALSE)),0,VLOOKUP($C42,MSD_Det!$C$17:$H$91,6,FALSE))</f>
        <v>5</v>
      </c>
      <c r="U42">
        <f>IF(ISNA(VLOOKUP($C42,SLE_Det!$C$17:$H$93,6,FALSE)),0,VLOOKUP($C42,SLE_Det!$C$17:$H$93,6,FALSE))</f>
        <v>8</v>
      </c>
    </row>
    <row r="43" spans="2:21" s="337" customFormat="1" x14ac:dyDescent="0.25">
      <c r="C43" s="715" t="s">
        <v>417</v>
      </c>
      <c r="D43" s="344" t="s">
        <v>368</v>
      </c>
      <c r="E43" s="788"/>
      <c r="F43" s="340" t="s">
        <v>265</v>
      </c>
      <c r="G43" s="18" t="s">
        <v>18</v>
      </c>
      <c r="H43" s="364" t="s">
        <v>42</v>
      </c>
      <c r="I43" s="378">
        <v>123.95348837209301</v>
      </c>
      <c r="J43" s="788"/>
      <c r="K43" s="788"/>
      <c r="L43" s="484"/>
      <c r="M43" s="728"/>
      <c r="N43" s="728"/>
      <c r="O43" s="728"/>
      <c r="Q43">
        <f>IF(ISNA(VLOOKUP($C43,BN_Det!$C$17:$H$92,6,FALSE)),0,VLOOKUP($C43,BN_Det!$C$17:$H$92,6,FALSE))</f>
        <v>0</v>
      </c>
      <c r="R43">
        <f>IF(ISNA(VLOOKUP($C43,KLO_Det!$C$17:$H$93,6,FALSE)),0,VLOOKUP($C43,KLO_Det!$C$17:$H$93,6,FALSE))</f>
        <v>0</v>
      </c>
      <c r="S43">
        <f>IF(ISNA(VLOOKUP($C43,LLG_Det!$C$17:$H$91,6,FALSE)),0,VLOOKUP($C43,LLG_Det!$C$17:$H$91,6,FALSE))</f>
        <v>0</v>
      </c>
      <c r="T43">
        <f>IF(ISNA(VLOOKUP($C43,MSD_Det!$C$17:$H$91,6,FALSE)),0,VLOOKUP($C43,MSD_Det!$C$17:$H$91,6,FALSE))</f>
        <v>0</v>
      </c>
      <c r="U43">
        <f>IF(ISNA(VLOOKUP($C43,SLE_Det!$C$17:$H$93,6,FALSE)),0,VLOOKUP($C43,SLE_Det!$C$17:$H$93,6,FALSE))</f>
        <v>0</v>
      </c>
    </row>
    <row r="44" spans="2:21" s="337" customFormat="1" x14ac:dyDescent="0.25">
      <c r="C44" s="715" t="s">
        <v>653</v>
      </c>
      <c r="D44" s="344" t="s">
        <v>654</v>
      </c>
      <c r="E44" s="788"/>
      <c r="F44" s="340" t="s">
        <v>265</v>
      </c>
      <c r="G44" s="18" t="s">
        <v>18</v>
      </c>
      <c r="H44" s="364" t="s">
        <v>42</v>
      </c>
      <c r="I44" s="378"/>
      <c r="J44" s="788"/>
      <c r="K44" s="788"/>
      <c r="L44" s="484"/>
      <c r="M44" s="728"/>
      <c r="N44" s="728"/>
      <c r="O44" s="728"/>
      <c r="Q44">
        <f>IF(ISNA(VLOOKUP($C44,BN_Det!$C$17:$H$92,6,FALSE)),0,VLOOKUP($C44,BN_Det!$C$17:$H$92,6,FALSE))</f>
        <v>1</v>
      </c>
      <c r="R44">
        <f>IF(ISNA(VLOOKUP($C44,KLO_Det!$C$17:$H$93,6,FALSE)),0,VLOOKUP($C44,KLO_Det!$C$17:$H$93,6,FALSE))</f>
        <v>0</v>
      </c>
      <c r="S44">
        <f>IF(ISNA(VLOOKUP($C44,LLG_Det!$C$17:$H$91,6,FALSE)),0,VLOOKUP($C44,LLG_Det!$C$17:$H$91,6,FALSE))</f>
        <v>0</v>
      </c>
      <c r="T44">
        <f>IF(ISNA(VLOOKUP($C44,MSD_Det!$C$17:$H$91,6,FALSE)),0,VLOOKUP($C44,MSD_Det!$C$17:$H$91,6,FALSE))</f>
        <v>0</v>
      </c>
      <c r="U44">
        <f>IF(ISNA(VLOOKUP($C44,SLE_Det!$C$17:$H$93,6,FALSE)),0,VLOOKUP($C44,SLE_Det!$C$17:$H$93,6,FALSE))</f>
        <v>0</v>
      </c>
    </row>
    <row r="45" spans="2:21" x14ac:dyDescent="0.25">
      <c r="C45" s="161"/>
      <c r="D45" s="161"/>
      <c r="E45" s="357"/>
      <c r="F45" s="358"/>
      <c r="G45" s="301"/>
      <c r="H45" s="301"/>
      <c r="I45" s="359"/>
      <c r="J45" s="207"/>
      <c r="K45" s="207"/>
      <c r="L45" s="207"/>
      <c r="M45" s="207"/>
      <c r="N45" s="207"/>
      <c r="O45" s="46"/>
    </row>
    <row r="46" spans="2:21" ht="30.6" customHeight="1" x14ac:dyDescent="0.25">
      <c r="B46" s="360" t="s">
        <v>336</v>
      </c>
      <c r="E46" s="287"/>
      <c r="F46" s="288"/>
      <c r="G46" s="50"/>
      <c r="H46" s="50"/>
      <c r="I46" s="207"/>
      <c r="J46" s="207"/>
      <c r="K46" s="207"/>
      <c r="L46" s="207"/>
      <c r="M46" s="207"/>
      <c r="N46" s="207"/>
      <c r="O46" s="46"/>
    </row>
    <row r="47" spans="2:21" ht="14.45" customHeight="1" x14ac:dyDescent="0.25">
      <c r="C47" s="348"/>
      <c r="D47" s="348"/>
      <c r="E47" s="350" t="s">
        <v>230</v>
      </c>
      <c r="F47" s="348"/>
      <c r="G47" s="355"/>
      <c r="H47" s="355"/>
      <c r="I47" s="348"/>
      <c r="J47" s="348"/>
      <c r="K47" s="348"/>
      <c r="L47" s="207"/>
      <c r="M47" s="758"/>
      <c r="N47" s="758"/>
      <c r="O47" s="758"/>
    </row>
    <row r="48" spans="2:21" x14ac:dyDescent="0.25">
      <c r="B48" s="23"/>
      <c r="C48" s="349" t="s">
        <v>231</v>
      </c>
      <c r="D48" s="349" t="s">
        <v>232</v>
      </c>
      <c r="E48" s="353" t="s">
        <v>235</v>
      </c>
      <c r="F48" s="349" t="s">
        <v>264</v>
      </c>
      <c r="G48" s="349" t="s">
        <v>373</v>
      </c>
      <c r="H48" s="349" t="s">
        <v>101</v>
      </c>
      <c r="I48" s="349" t="s">
        <v>151</v>
      </c>
      <c r="J48" s="349" t="s">
        <v>380</v>
      </c>
      <c r="K48" s="349" t="s">
        <v>77</v>
      </c>
      <c r="L48" s="207"/>
      <c r="M48" s="482"/>
      <c r="N48" s="482"/>
      <c r="O48" s="482"/>
    </row>
    <row r="49" spans="2:21" x14ac:dyDescent="0.25">
      <c r="C49" s="343" t="s">
        <v>483</v>
      </c>
      <c r="D49" s="318" t="s">
        <v>226</v>
      </c>
      <c r="E49" s="788"/>
      <c r="F49" s="487" t="s">
        <v>265</v>
      </c>
      <c r="G49" s="414" t="s">
        <v>22</v>
      </c>
      <c r="H49" s="488" t="s">
        <v>42</v>
      </c>
      <c r="I49" s="378">
        <v>46.208057090239414</v>
      </c>
      <c r="J49" s="788"/>
      <c r="K49" s="788"/>
      <c r="L49" s="484"/>
      <c r="M49" s="728"/>
      <c r="N49" s="728"/>
      <c r="O49" s="728"/>
      <c r="Q49">
        <f>IF(ISNA(VLOOKUP($C49,BN_Det!$C$17:$H$92,6,FALSE)),0,VLOOKUP($C49,BN_Det!$C$17:$H$92,6,FALSE))</f>
        <v>2</v>
      </c>
      <c r="R49">
        <f>IF(ISNA(VLOOKUP($C49,KLO_Det!$C$17:$H$93,6,FALSE)),0,VLOOKUP($C49,KLO_Det!$C$17:$H$93,6,FALSE))</f>
        <v>0</v>
      </c>
      <c r="S49">
        <f>IF(ISNA(VLOOKUP($C49,LLG_Det!$C$17:$H$91,6,FALSE)),0,VLOOKUP($C49,LLG_Det!$C$17:$H$91,6,FALSE))</f>
        <v>1</v>
      </c>
      <c r="T49">
        <f>IF(ISNA(VLOOKUP($C49,MSD_Det!$C$17:$H$91,6,FALSE)),0,VLOOKUP($C49,MSD_Det!$C$17:$H$91,6,FALSE))</f>
        <v>1</v>
      </c>
      <c r="U49">
        <f>IF(ISNA(VLOOKUP($C49,SLE_Det!$C$17:$H$93,6,FALSE)),0,VLOOKUP($C49,SLE_Det!$C$17:$H$93,6,FALSE))</f>
        <v>2</v>
      </c>
    </row>
    <row r="50" spans="2:21" x14ac:dyDescent="0.25">
      <c r="C50" s="343" t="s">
        <v>484</v>
      </c>
      <c r="D50" s="318" t="s">
        <v>226</v>
      </c>
      <c r="E50" s="788"/>
      <c r="F50" s="487" t="s">
        <v>265</v>
      </c>
      <c r="G50" s="414" t="s">
        <v>22</v>
      </c>
      <c r="H50" s="488" t="s">
        <v>42</v>
      </c>
      <c r="I50" s="378">
        <v>58.317856353591161</v>
      </c>
      <c r="J50" s="788"/>
      <c r="K50" s="788"/>
      <c r="L50" s="484"/>
      <c r="M50" s="728"/>
      <c r="N50" s="728"/>
      <c r="O50" s="728"/>
      <c r="Q50">
        <f>IF(ISNA(VLOOKUP($C50,BN_Det!$C$17:$H$92,6,FALSE)),0,VLOOKUP($C50,BN_Det!$C$17:$H$92,6,FALSE))</f>
        <v>0</v>
      </c>
      <c r="R50">
        <f>IF(ISNA(VLOOKUP($C50,KLO_Det!$C$17:$H$93,6,FALSE)),0,VLOOKUP($C50,KLO_Det!$C$17:$H$93,6,FALSE))</f>
        <v>2</v>
      </c>
      <c r="S50">
        <f>IF(ISNA(VLOOKUP($C50,LLG_Det!$C$17:$H$91,6,FALSE)),0,VLOOKUP($C50,LLG_Det!$C$17:$H$91,6,FALSE))</f>
        <v>0</v>
      </c>
      <c r="T50">
        <f>IF(ISNA(VLOOKUP($C50,MSD_Det!$C$17:$H$91,6,FALSE)),0,VLOOKUP($C50,MSD_Det!$C$17:$H$91,6,FALSE))</f>
        <v>0</v>
      </c>
      <c r="U50">
        <f>IF(ISNA(VLOOKUP($C50,SLE_Det!$C$17:$H$93,6,FALSE)),0,VLOOKUP($C50,SLE_Det!$C$17:$H$93,6,FALSE))</f>
        <v>0</v>
      </c>
    </row>
    <row r="51" spans="2:21" x14ac:dyDescent="0.25">
      <c r="C51" s="343" t="s">
        <v>335</v>
      </c>
      <c r="D51" s="318" t="s">
        <v>227</v>
      </c>
      <c r="E51" s="788"/>
      <c r="F51" s="487" t="s">
        <v>265</v>
      </c>
      <c r="G51" s="414" t="s">
        <v>22</v>
      </c>
      <c r="H51" s="488" t="s">
        <v>42</v>
      </c>
      <c r="I51" s="378">
        <v>5.88950276243094</v>
      </c>
      <c r="J51" s="788"/>
      <c r="K51" s="788"/>
      <c r="L51" s="484"/>
      <c r="M51" s="728"/>
      <c r="N51" s="728"/>
      <c r="O51" s="728"/>
      <c r="Q51">
        <f>IF(ISNA(VLOOKUP($C51,BN_Det!$C$17:$H$92,6,FALSE)),0,VLOOKUP($C51,BN_Det!$C$17:$H$92,6,FALSE))</f>
        <v>1</v>
      </c>
      <c r="R51">
        <f>IF(ISNA(VLOOKUP($C51,KLO_Det!$C$17:$H$93,6,FALSE)),0,VLOOKUP($C51,KLO_Det!$C$17:$H$93,6,FALSE))</f>
        <v>2</v>
      </c>
      <c r="S51">
        <f>IF(ISNA(VLOOKUP($C51,LLG_Det!$C$17:$H$91,6,FALSE)),0,VLOOKUP($C51,LLG_Det!$C$17:$H$91,6,FALSE))</f>
        <v>1</v>
      </c>
      <c r="T51">
        <f>IF(ISNA(VLOOKUP($C51,MSD_Det!$C$17:$H$91,6,FALSE)),0,VLOOKUP($C51,MSD_Det!$C$17:$H$91,6,FALSE))</f>
        <v>1</v>
      </c>
      <c r="U51">
        <f>IF(ISNA(VLOOKUP($C51,SLE_Det!$C$17:$H$93,6,FALSE)),0,VLOOKUP($C51,SLE_Det!$C$17:$H$93,6,FALSE))</f>
        <v>1</v>
      </c>
    </row>
    <row r="52" spans="2:21" x14ac:dyDescent="0.25">
      <c r="C52" s="343" t="s">
        <v>337</v>
      </c>
      <c r="D52" s="318" t="s">
        <v>337</v>
      </c>
      <c r="E52" s="788"/>
      <c r="F52" s="487" t="s">
        <v>265</v>
      </c>
      <c r="G52" s="414" t="s">
        <v>22</v>
      </c>
      <c r="H52" s="488" t="s">
        <v>42</v>
      </c>
      <c r="I52" s="378">
        <v>8.2030957642725593</v>
      </c>
      <c r="J52" s="788"/>
      <c r="K52" s="788"/>
      <c r="L52" s="484"/>
      <c r="M52" s="728"/>
      <c r="N52" s="728"/>
      <c r="O52" s="728"/>
      <c r="Q52">
        <f>IF(ISNA(VLOOKUP($C52,BN_Det!$C$17:$H$92,6,FALSE)),0,VLOOKUP($C52,BN_Det!$C$17:$H$92,6,FALSE))</f>
        <v>0</v>
      </c>
      <c r="R52">
        <f>IF(ISNA(VLOOKUP($C52,KLO_Det!$C$17:$H$93,6,FALSE)),0,VLOOKUP($C52,KLO_Det!$C$17:$H$93,6,FALSE))</f>
        <v>0</v>
      </c>
      <c r="S52">
        <f>IF(ISNA(VLOOKUP($C52,LLG_Det!$C$17:$H$91,6,FALSE)),0,VLOOKUP($C52,LLG_Det!$C$17:$H$91,6,FALSE))</f>
        <v>0</v>
      </c>
      <c r="T52">
        <f>IF(ISNA(VLOOKUP($C52,MSD_Det!$C$17:$H$91,6,FALSE)),0,VLOOKUP($C52,MSD_Det!$C$17:$H$91,6,FALSE))</f>
        <v>0</v>
      </c>
      <c r="U52">
        <f>IF(ISNA(VLOOKUP($C52,SLE_Det!$C$17:$H$93,6,FALSE)),0,VLOOKUP($C52,SLE_Det!$C$17:$H$93,6,FALSE))</f>
        <v>0</v>
      </c>
    </row>
    <row r="53" spans="2:21" x14ac:dyDescent="0.25">
      <c r="C53" s="343" t="s">
        <v>504</v>
      </c>
      <c r="D53" s="343" t="s">
        <v>509</v>
      </c>
      <c r="E53" s="788"/>
      <c r="F53" s="487" t="s">
        <v>265</v>
      </c>
      <c r="G53" s="414" t="s">
        <v>22</v>
      </c>
      <c r="H53" s="488" t="s">
        <v>42</v>
      </c>
      <c r="I53" s="378">
        <v>92.456849907918979</v>
      </c>
      <c r="J53" s="788"/>
      <c r="K53" s="788"/>
      <c r="L53" s="484"/>
      <c r="M53" s="728"/>
      <c r="N53" s="728"/>
      <c r="O53" s="728"/>
      <c r="Q53">
        <f>IF(ISNA(VLOOKUP($C53,BN_Det!$C$17:$H$92,6,FALSE)),0,VLOOKUP($C53,BN_Det!$C$17:$H$92,6,FALSE))</f>
        <v>2</v>
      </c>
      <c r="R53">
        <f>IF(ISNA(VLOOKUP($C53,KLO_Det!$C$17:$H$93,6,FALSE)),0,VLOOKUP($C53,KLO_Det!$C$17:$H$93,6,FALSE))</f>
        <v>2</v>
      </c>
      <c r="S53">
        <f>IF(ISNA(VLOOKUP($C53,LLG_Det!$C$17:$H$91,6,FALSE)),0,VLOOKUP($C53,LLG_Det!$C$17:$H$91,6,FALSE))</f>
        <v>1</v>
      </c>
      <c r="T53">
        <f>IF(ISNA(VLOOKUP($C53,MSD_Det!$C$17:$H$91,6,FALSE)),0,VLOOKUP($C53,MSD_Det!$C$17:$H$91,6,FALSE))</f>
        <v>1</v>
      </c>
      <c r="U53">
        <f>IF(ISNA(VLOOKUP($C53,SLE_Det!$C$17:$H$93,6,FALSE)),0,VLOOKUP($C53,SLE_Det!$C$17:$H$93,6,FALSE))</f>
        <v>2</v>
      </c>
    </row>
    <row r="54" spans="2:21" x14ac:dyDescent="0.25">
      <c r="C54" s="343" t="s">
        <v>505</v>
      </c>
      <c r="D54" s="343" t="s">
        <v>506</v>
      </c>
      <c r="E54" s="788"/>
      <c r="F54" s="487" t="s">
        <v>265</v>
      </c>
      <c r="G54" s="414" t="s">
        <v>22</v>
      </c>
      <c r="H54" s="488" t="s">
        <v>42</v>
      </c>
      <c r="I54" s="378">
        <v>186.46067587476981</v>
      </c>
      <c r="J54" s="788"/>
      <c r="K54" s="788"/>
      <c r="L54" s="484"/>
      <c r="M54" s="728"/>
      <c r="N54" s="728"/>
      <c r="O54" s="728"/>
      <c r="Q54">
        <f>IF(ISNA(VLOOKUP($C54,BN_Det!$C$17:$H$92,6,FALSE)),0,VLOOKUP($C54,BN_Det!$C$17:$H$92,6,FALSE))</f>
        <v>0</v>
      </c>
      <c r="R54">
        <f>IF(ISNA(VLOOKUP($C54,KLO_Det!$C$17:$H$93,6,FALSE)),0,VLOOKUP($C54,KLO_Det!$C$17:$H$93,6,FALSE))</f>
        <v>0</v>
      </c>
      <c r="S54">
        <f>IF(ISNA(VLOOKUP($C54,LLG_Det!$C$17:$H$91,6,FALSE)),0,VLOOKUP($C54,LLG_Det!$C$17:$H$91,6,FALSE))</f>
        <v>0</v>
      </c>
      <c r="T54">
        <f>IF(ISNA(VLOOKUP($C54,MSD_Det!$C$17:$H$91,6,FALSE)),0,VLOOKUP($C54,MSD_Det!$C$17:$H$91,6,FALSE))</f>
        <v>0</v>
      </c>
      <c r="U54">
        <f>IF(ISNA(VLOOKUP($C54,SLE_Det!$C$17:$H$93,6,FALSE)),0,VLOOKUP($C54,SLE_Det!$C$17:$H$93,6,FALSE))</f>
        <v>0</v>
      </c>
    </row>
    <row r="55" spans="2:21" x14ac:dyDescent="0.25">
      <c r="C55" s="343" t="s">
        <v>507</v>
      </c>
      <c r="D55" s="343" t="s">
        <v>508</v>
      </c>
      <c r="E55" s="788"/>
      <c r="F55" s="487" t="s">
        <v>265</v>
      </c>
      <c r="G55" s="414" t="s">
        <v>22</v>
      </c>
      <c r="H55" s="488" t="s">
        <v>42</v>
      </c>
      <c r="I55" s="378">
        <v>154.73392449355433</v>
      </c>
      <c r="J55" s="788"/>
      <c r="K55" s="788"/>
      <c r="L55" s="484"/>
      <c r="M55" s="728"/>
      <c r="N55" s="728"/>
      <c r="O55" s="728"/>
      <c r="Q55">
        <f>IF(ISNA(VLOOKUP($C55,BN_Det!$C$17:$H$92,6,FALSE)),0,VLOOKUP($C55,BN_Det!$C$17:$H$92,6,FALSE))</f>
        <v>0</v>
      </c>
      <c r="R55">
        <f>IF(ISNA(VLOOKUP($C55,KLO_Det!$C$17:$H$93,6,FALSE)),0,VLOOKUP($C55,KLO_Det!$C$17:$H$93,6,FALSE))</f>
        <v>0</v>
      </c>
      <c r="S55">
        <f>IF(ISNA(VLOOKUP($C55,LLG_Det!$C$17:$H$91,6,FALSE)),0,VLOOKUP($C55,LLG_Det!$C$17:$H$91,6,FALSE))</f>
        <v>0</v>
      </c>
      <c r="T55">
        <f>IF(ISNA(VLOOKUP($C55,MSD_Det!$C$17:$H$91,6,FALSE)),0,VLOOKUP($C55,MSD_Det!$C$17:$H$91,6,FALSE))</f>
        <v>0</v>
      </c>
      <c r="U55">
        <f>IF(ISNA(VLOOKUP($C55,SLE_Det!$C$17:$H$93,6,FALSE)),0,VLOOKUP($C55,SLE_Det!$C$17:$H$93,6,FALSE))</f>
        <v>0</v>
      </c>
    </row>
    <row r="56" spans="2:21" x14ac:dyDescent="0.25">
      <c r="C56" s="343" t="s">
        <v>510</v>
      </c>
      <c r="D56" s="343" t="s">
        <v>511</v>
      </c>
      <c r="E56" s="788"/>
      <c r="F56" s="487" t="s">
        <v>265</v>
      </c>
      <c r="G56" s="414" t="s">
        <v>22</v>
      </c>
      <c r="H56" s="488" t="s">
        <v>42</v>
      </c>
      <c r="I56" s="378">
        <v>39.589237569060778</v>
      </c>
      <c r="J56" s="788"/>
      <c r="K56" s="788"/>
      <c r="L56" s="484"/>
      <c r="M56" s="728"/>
      <c r="N56" s="728"/>
      <c r="O56" s="728"/>
      <c r="Q56">
        <f>IF(ISNA(VLOOKUP($C56,BN_Det!$C$17:$H$92,6,FALSE)),0,VLOOKUP($C56,BN_Det!$C$17:$H$92,6,FALSE))</f>
        <v>0</v>
      </c>
      <c r="R56">
        <f>IF(ISNA(VLOOKUP($C56,KLO_Det!$C$17:$H$93,6,FALSE)),0,VLOOKUP($C56,KLO_Det!$C$17:$H$93,6,FALSE))</f>
        <v>0</v>
      </c>
      <c r="S56">
        <f>IF(ISNA(VLOOKUP($C56,LLG_Det!$C$17:$H$91,6,FALSE)),0,VLOOKUP($C56,LLG_Det!$C$17:$H$91,6,FALSE))</f>
        <v>0</v>
      </c>
      <c r="T56">
        <f>IF(ISNA(VLOOKUP($C56,MSD_Det!$C$17:$H$91,6,FALSE)),0,VLOOKUP($C56,MSD_Det!$C$17:$H$91,6,FALSE))</f>
        <v>0</v>
      </c>
      <c r="U56">
        <f>IF(ISNA(VLOOKUP($C56,SLE_Det!$C$17:$H$93,6,FALSE)),0,VLOOKUP($C56,SLE_Det!$C$17:$H$93,6,FALSE))</f>
        <v>0</v>
      </c>
    </row>
    <row r="57" spans="2:21" x14ac:dyDescent="0.25">
      <c r="C57" s="343" t="s">
        <v>512</v>
      </c>
      <c r="D57" s="343" t="s">
        <v>513</v>
      </c>
      <c r="E57" s="788"/>
      <c r="F57" s="487" t="s">
        <v>265</v>
      </c>
      <c r="G57" s="414" t="s">
        <v>22</v>
      </c>
      <c r="H57" s="488" t="s">
        <v>42</v>
      </c>
      <c r="I57" s="378">
        <v>31.775830570902396</v>
      </c>
      <c r="J57" s="788"/>
      <c r="K57" s="788"/>
      <c r="L57" s="484"/>
      <c r="M57" s="728"/>
      <c r="N57" s="728"/>
      <c r="O57" s="728"/>
      <c r="Q57">
        <f>IF(ISNA(VLOOKUP($C57,BN_Det!$C$17:$H$92,6,FALSE)),0,VLOOKUP($C57,BN_Det!$C$17:$H$92,6,FALSE))</f>
        <v>0</v>
      </c>
      <c r="R57">
        <f>IF(ISNA(VLOOKUP($C57,KLO_Det!$C$17:$H$93,6,FALSE)),0,VLOOKUP($C57,KLO_Det!$C$17:$H$93,6,FALSE))</f>
        <v>0</v>
      </c>
      <c r="S57">
        <f>IF(ISNA(VLOOKUP($C57,LLG_Det!$C$17:$H$91,6,FALSE)),0,VLOOKUP($C57,LLG_Det!$C$17:$H$91,6,FALSE))</f>
        <v>0</v>
      </c>
      <c r="T57">
        <f>IF(ISNA(VLOOKUP($C57,MSD_Det!$C$17:$H$91,6,FALSE)),0,VLOOKUP($C57,MSD_Det!$C$17:$H$91,6,FALSE))</f>
        <v>0</v>
      </c>
      <c r="U57">
        <f>IF(ISNA(VLOOKUP($C57,SLE_Det!$C$17:$H$93,6,FALSE)),0,VLOOKUP($C57,SLE_Det!$C$17:$H$93,6,FALSE))</f>
        <v>0</v>
      </c>
    </row>
    <row r="58" spans="2:21" x14ac:dyDescent="0.25">
      <c r="C58" s="318" t="s">
        <v>351</v>
      </c>
      <c r="D58" s="318" t="s">
        <v>339</v>
      </c>
      <c r="E58" s="788"/>
      <c r="F58" s="487" t="s">
        <v>265</v>
      </c>
      <c r="G58" s="414" t="s">
        <v>22</v>
      </c>
      <c r="H58" s="488" t="s">
        <v>42</v>
      </c>
      <c r="I58" s="378">
        <v>140.881568372093</v>
      </c>
      <c r="J58" s="788"/>
      <c r="K58" s="788"/>
      <c r="L58" s="484"/>
      <c r="M58" s="728"/>
      <c r="N58" s="728"/>
      <c r="O58" s="728"/>
      <c r="Q58">
        <f>IF(ISNA(VLOOKUP($C58,BN_Det!$C$17:$H$92,6,FALSE)),0,VLOOKUP($C58,BN_Det!$C$17:$H$92,6,FALSE))</f>
        <v>0</v>
      </c>
      <c r="R58">
        <f>IF(ISNA(VLOOKUP($C58,KLO_Det!$C$17:$H$93,6,FALSE)),0,VLOOKUP($C58,KLO_Det!$C$17:$H$93,6,FALSE))</f>
        <v>0</v>
      </c>
      <c r="S58">
        <f>IF(ISNA(VLOOKUP($C58,LLG_Det!$C$17:$H$91,6,FALSE)),0,VLOOKUP($C58,LLG_Det!$C$17:$H$91,6,FALSE))</f>
        <v>1</v>
      </c>
      <c r="T58">
        <f>IF(ISNA(VLOOKUP($C58,MSD_Det!$C$17:$H$91,6,FALSE)),0,VLOOKUP($C58,MSD_Det!$C$17:$H$91,6,FALSE))</f>
        <v>0</v>
      </c>
      <c r="U58">
        <f>IF(ISNA(VLOOKUP($C58,SLE_Det!$C$17:$H$93,6,FALSE)),0,VLOOKUP($C58,SLE_Det!$C$17:$H$93,6,FALSE))</f>
        <v>0</v>
      </c>
    </row>
    <row r="59" spans="2:21" x14ac:dyDescent="0.25">
      <c r="C59" s="318" t="s">
        <v>346</v>
      </c>
      <c r="D59" s="318" t="s">
        <v>378</v>
      </c>
      <c r="E59" s="788"/>
      <c r="F59" s="487" t="s">
        <v>265</v>
      </c>
      <c r="G59" s="414" t="s">
        <v>22</v>
      </c>
      <c r="H59" s="488" t="s">
        <v>42</v>
      </c>
      <c r="I59" s="378">
        <v>87.015440147329656</v>
      </c>
      <c r="J59" s="788"/>
      <c r="K59" s="788"/>
      <c r="L59" s="484"/>
      <c r="M59" s="728"/>
      <c r="N59" s="728"/>
      <c r="O59" s="728"/>
      <c r="Q59">
        <f>IF(ISNA(VLOOKUP($C59,BN_Det!$C$17:$H$92,6,FALSE)),0,VLOOKUP($C59,BN_Det!$C$17:$H$92,6,FALSE))</f>
        <v>0</v>
      </c>
      <c r="R59">
        <f>IF(ISNA(VLOOKUP($C59,KLO_Det!$C$17:$H$93,6,FALSE)),0,VLOOKUP($C59,KLO_Det!$C$17:$H$93,6,FALSE))</f>
        <v>0</v>
      </c>
      <c r="S59">
        <f>IF(ISNA(VLOOKUP($C59,LLG_Det!$C$17:$H$91,6,FALSE)),0,VLOOKUP($C59,LLG_Det!$C$17:$H$91,6,FALSE))</f>
        <v>0</v>
      </c>
      <c r="T59">
        <f>IF(ISNA(VLOOKUP($C59,MSD_Det!$C$17:$H$91,6,FALSE)),0,VLOOKUP($C59,MSD_Det!$C$17:$H$91,6,FALSE))</f>
        <v>0</v>
      </c>
      <c r="U59">
        <f>IF(ISNA(VLOOKUP($C59,SLE_Det!$C$17:$H$93,6,FALSE)),0,VLOOKUP($C59,SLE_Det!$C$17:$H$93,6,FALSE))</f>
        <v>0</v>
      </c>
    </row>
    <row r="60" spans="2:21" x14ac:dyDescent="0.25">
      <c r="E60" s="287"/>
      <c r="F60" s="288"/>
      <c r="G60" s="50"/>
      <c r="H60" s="50"/>
      <c r="I60" s="207"/>
      <c r="J60" s="207"/>
      <c r="K60" s="207"/>
      <c r="L60" s="207"/>
      <c r="M60" s="207"/>
      <c r="N60" s="207"/>
    </row>
    <row r="61" spans="2:21" x14ac:dyDescent="0.25">
      <c r="E61" s="14"/>
    </row>
    <row r="62" spans="2:21" x14ac:dyDescent="0.25">
      <c r="B62" s="25" t="s">
        <v>256</v>
      </c>
    </row>
    <row r="63" spans="2:21" ht="15" customHeight="1" x14ac:dyDescent="0.25">
      <c r="C63" s="348"/>
      <c r="D63" s="348"/>
      <c r="E63" s="350" t="s">
        <v>230</v>
      </c>
      <c r="F63" s="348"/>
      <c r="G63" s="355"/>
      <c r="H63" s="355"/>
      <c r="I63" s="348"/>
      <c r="J63" s="351"/>
      <c r="K63" s="759" t="s">
        <v>152</v>
      </c>
      <c r="L63" s="759" t="s">
        <v>153</v>
      </c>
      <c r="M63" s="356"/>
      <c r="N63" s="352"/>
      <c r="O63" s="327"/>
    </row>
    <row r="64" spans="2:21" x14ac:dyDescent="0.25">
      <c r="C64" s="349" t="s">
        <v>231</v>
      </c>
      <c r="D64" s="349" t="s">
        <v>232</v>
      </c>
      <c r="E64" s="353" t="s">
        <v>235</v>
      </c>
      <c r="F64" s="349" t="s">
        <v>264</v>
      </c>
      <c r="G64" s="349" t="s">
        <v>373</v>
      </c>
      <c r="H64" s="349" t="s">
        <v>101</v>
      </c>
      <c r="I64" s="349" t="s">
        <v>151</v>
      </c>
      <c r="J64" s="353" t="s">
        <v>63</v>
      </c>
      <c r="K64" s="759"/>
      <c r="L64" s="759"/>
      <c r="M64" s="354" t="s">
        <v>77</v>
      </c>
      <c r="N64" s="354"/>
      <c r="O64" s="276"/>
    </row>
    <row r="65" spans="2:23" ht="28.5" customHeight="1" x14ac:dyDescent="0.25">
      <c r="C65" s="761" t="s">
        <v>245</v>
      </c>
      <c r="D65" s="762" t="s">
        <v>246</v>
      </c>
      <c r="E65" s="763">
        <v>23.583362962962966</v>
      </c>
      <c r="F65" s="765" t="s">
        <v>265</v>
      </c>
      <c r="G65" s="18" t="s">
        <v>19</v>
      </c>
      <c r="H65" s="364" t="s">
        <v>42</v>
      </c>
      <c r="I65" s="346">
        <v>0</v>
      </c>
      <c r="J65" s="346">
        <v>2.0080465116279065</v>
      </c>
      <c r="K65" s="346">
        <v>3.6591069767441855</v>
      </c>
      <c r="L65" s="346">
        <v>0</v>
      </c>
      <c r="M65" s="346">
        <v>0</v>
      </c>
      <c r="N65" s="318" t="s">
        <v>372</v>
      </c>
      <c r="O65" s="486"/>
    </row>
    <row r="66" spans="2:23" ht="24.75" customHeight="1" x14ac:dyDescent="0.25">
      <c r="C66" s="761"/>
      <c r="D66" s="762"/>
      <c r="E66" s="764"/>
      <c r="F66" s="765"/>
      <c r="G66" s="18" t="s">
        <v>19</v>
      </c>
      <c r="H66" s="364" t="s">
        <v>42</v>
      </c>
      <c r="I66" s="346">
        <v>0</v>
      </c>
      <c r="J66" s="346">
        <v>7.8090697674418594</v>
      </c>
      <c r="K66" s="346">
        <v>18.131916279069767</v>
      </c>
      <c r="L66" s="346">
        <v>0</v>
      </c>
      <c r="M66" s="346">
        <v>0</v>
      </c>
      <c r="N66" s="318" t="s">
        <v>364</v>
      </c>
      <c r="O66" s="486"/>
      <c r="Q66">
        <f>IF(ISNA(VLOOKUP($C66,BN_Det!$C$17:$H$92,6,FALSE)),0,VLOOKUP($C66,BN_Det!$C$17:$H$92,6,FALSE))</f>
        <v>0</v>
      </c>
      <c r="R66">
        <f>IF(ISNA(VLOOKUP($C66,KLO_Det!$C$17:$H$93,6,FALSE)),0,VLOOKUP($C66,KLO_Det!$C$17:$H$93,6,FALSE))</f>
        <v>0</v>
      </c>
      <c r="S66">
        <f>IF(ISNA(VLOOKUP($C66,LLG_Det!$C$17:$H$91,6,FALSE)),0,VLOOKUP($C66,LLG_Det!$C$17:$H$91,6,FALSE))</f>
        <v>0</v>
      </c>
      <c r="T66">
        <f>IF(ISNA(VLOOKUP($C66,MSD_Det!$C$17:$H$91,6,FALSE)),0,VLOOKUP($C66,MSD_Det!$C$17:$H$91,6,FALSE))</f>
        <v>0</v>
      </c>
      <c r="U66">
        <f>IF(ISNA(VLOOKUP($C66,SLE_Det!$C$17:$H$93,6,FALSE)),0,VLOOKUP($C66,SLE_Det!$C$17:$H$93,6,FALSE))</f>
        <v>0</v>
      </c>
    </row>
    <row r="67" spans="2:23" x14ac:dyDescent="0.25">
      <c r="C67" s="318" t="s">
        <v>247</v>
      </c>
      <c r="D67" s="318" t="s">
        <v>248</v>
      </c>
      <c r="E67" s="788"/>
      <c r="F67" s="340" t="s">
        <v>265</v>
      </c>
      <c r="G67" s="18" t="s">
        <v>19</v>
      </c>
      <c r="H67" s="364" t="s">
        <v>42</v>
      </c>
      <c r="I67" s="788"/>
      <c r="J67" s="788"/>
      <c r="K67" s="788"/>
      <c r="L67" s="788"/>
      <c r="M67" s="788"/>
      <c r="N67" s="341"/>
      <c r="O67" s="486"/>
      <c r="P67" s="15"/>
      <c r="Q67">
        <f>IF(ISNA(VLOOKUP($C67,BN_Det!$C$17:$H$92,6,FALSE)),0,VLOOKUP($C67,BN_Det!$C$17:$H$92,6,FALSE))</f>
        <v>18</v>
      </c>
      <c r="R67">
        <f>IF(ISNA(VLOOKUP($C67,KLO_Det!$C$17:$H$93,6,FALSE)),0,VLOOKUP($C67,KLO_Det!$C$17:$H$93,6,FALSE))</f>
        <v>0</v>
      </c>
      <c r="S67">
        <f>IF(ISNA(VLOOKUP($C67,LLG_Det!$C$17:$H$91,6,FALSE)),0,VLOOKUP($C67,LLG_Det!$C$17:$H$91,6,FALSE))</f>
        <v>0</v>
      </c>
      <c r="T67">
        <f>IF(ISNA(VLOOKUP($C67,MSD_Det!$C$17:$H$91,6,FALSE)),0,VLOOKUP($C67,MSD_Det!$C$17:$H$91,6,FALSE))</f>
        <v>0</v>
      </c>
      <c r="U67">
        <f>IF(ISNA(VLOOKUP($C67,SLE_Det!$C$17:$H$93,6,FALSE)),0,VLOOKUP($C67,SLE_Det!$C$17:$H$93,6,FALSE))</f>
        <v>0</v>
      </c>
    </row>
    <row r="68" spans="2:23" x14ac:dyDescent="0.25">
      <c r="C68" s="318" t="s">
        <v>251</v>
      </c>
      <c r="D68" s="318" t="s">
        <v>252</v>
      </c>
      <c r="E68" s="788"/>
      <c r="F68" s="340" t="s">
        <v>265</v>
      </c>
      <c r="G68" s="18" t="s">
        <v>19</v>
      </c>
      <c r="H68" s="364" t="s">
        <v>42</v>
      </c>
      <c r="I68" s="788"/>
      <c r="J68" s="788"/>
      <c r="K68" s="788"/>
      <c r="L68" s="788"/>
      <c r="M68" s="788"/>
      <c r="N68" s="341"/>
      <c r="O68" s="486"/>
      <c r="P68" s="323"/>
      <c r="Q68">
        <f>IF(ISNA(VLOOKUP($C68,BN_Det!$C$17:$H$92,6,FALSE)),0,VLOOKUP($C68,BN_Det!$C$17:$H$92,6,FALSE))</f>
        <v>0</v>
      </c>
      <c r="R68">
        <f>IF(ISNA(VLOOKUP($C68,KLO_Det!$C$17:$H$93,6,FALSE)),0,VLOOKUP($C68,KLO_Det!$C$17:$H$93,6,FALSE))</f>
        <v>0</v>
      </c>
      <c r="S68">
        <f>IF(ISNA(VLOOKUP($C68,LLG_Det!$C$17:$H$91,6,FALSE)),0,VLOOKUP($C68,LLG_Det!$C$17:$H$91,6,FALSE))</f>
        <v>1</v>
      </c>
      <c r="T68">
        <f>IF(ISNA(VLOOKUP($C68,MSD_Det!$C$17:$H$91,6,FALSE)),0,VLOOKUP($C68,MSD_Det!$C$17:$H$91,6,FALSE))</f>
        <v>1</v>
      </c>
      <c r="U68">
        <f>IF(ISNA(VLOOKUP($C68,SLE_Det!$C$17:$H$93,6,FALSE)),0,VLOOKUP($C68,SLE_Det!$C$17:$H$93,6,FALSE))</f>
        <v>1</v>
      </c>
    </row>
    <row r="69" spans="2:23" x14ac:dyDescent="0.25">
      <c r="C69" s="318" t="s">
        <v>253</v>
      </c>
      <c r="D69" s="318" t="s">
        <v>254</v>
      </c>
      <c r="E69" s="788"/>
      <c r="F69" s="340" t="s">
        <v>265</v>
      </c>
      <c r="G69" s="18" t="s">
        <v>19</v>
      </c>
      <c r="H69" s="364" t="s">
        <v>42</v>
      </c>
      <c r="I69" s="788"/>
      <c r="J69" s="788"/>
      <c r="K69" s="788"/>
      <c r="L69" s="788"/>
      <c r="M69" s="788"/>
      <c r="N69" s="341"/>
      <c r="O69" s="486"/>
      <c r="P69" s="15"/>
      <c r="Q69">
        <f>IF(ISNA(VLOOKUP($C69,BN_Det!$C$17:$H$92,6,FALSE)),0,VLOOKUP($C69,BN_Det!$C$17:$H$92,6,FALSE))</f>
        <v>57</v>
      </c>
      <c r="R69">
        <f>IF(ISNA(VLOOKUP($C69,KLO_Det!$C$17:$H$93,6,FALSE)),0,VLOOKUP($C69,KLO_Det!$C$17:$H$93,6,FALSE))</f>
        <v>24</v>
      </c>
      <c r="S69">
        <f>IF(ISNA(VLOOKUP($C69,LLG_Det!$C$17:$H$91,6,FALSE)),0,VLOOKUP($C69,LLG_Det!$C$17:$H$91,6,FALSE))</f>
        <v>43</v>
      </c>
      <c r="T69">
        <f>IF(ISNA(VLOOKUP($C69,MSD_Det!$C$17:$H$91,6,FALSE)),0,VLOOKUP($C69,MSD_Det!$C$17:$H$91,6,FALSE))</f>
        <v>33</v>
      </c>
      <c r="U69">
        <f>IF(ISNA(VLOOKUP($C69,SLE_Det!$C$17:$H$93,6,FALSE)),0,VLOOKUP($C69,SLE_Det!$C$17:$H$93,6,FALSE))</f>
        <v>67</v>
      </c>
    </row>
    <row r="70" spans="2:23" x14ac:dyDescent="0.25">
      <c r="C70" s="318" t="s">
        <v>249</v>
      </c>
      <c r="D70" s="318" t="s">
        <v>255</v>
      </c>
      <c r="E70" s="346">
        <f t="shared" ref="E67:E76" si="0">SUM(I70:M70)</f>
        <v>54.323421346402782</v>
      </c>
      <c r="F70" s="340" t="s">
        <v>265</v>
      </c>
      <c r="G70" s="18" t="s">
        <v>19</v>
      </c>
      <c r="H70" s="364" t="s">
        <v>42</v>
      </c>
      <c r="I70" s="346">
        <v>17.106573023255812</v>
      </c>
      <c r="J70" s="346">
        <v>3.182915551001432</v>
      </c>
      <c r="K70" s="346">
        <v>0</v>
      </c>
      <c r="L70" s="346">
        <v>30.203832018803993</v>
      </c>
      <c r="M70" s="346">
        <v>3.8301007533415401</v>
      </c>
      <c r="N70" s="342"/>
      <c r="O70" s="486"/>
      <c r="P70" s="15"/>
      <c r="Q70">
        <f>IF(ISNA(VLOOKUP($C70,BN_Det!$C$17:$H$92,6,FALSE)),0,VLOOKUP($C70,BN_Det!$C$17:$H$92,6,FALSE))</f>
        <v>37</v>
      </c>
      <c r="R70">
        <f>IF(ISNA(VLOOKUP($C70,KLO_Det!$C$17:$H$93,6,FALSE)),0,VLOOKUP($C70,KLO_Det!$C$17:$H$93,6,FALSE))</f>
        <v>15</v>
      </c>
      <c r="S70">
        <f>IF(ISNA(VLOOKUP($C70,LLG_Det!$C$17:$H$91,6,FALSE)),0,VLOOKUP($C70,LLG_Det!$C$17:$H$91,6,FALSE))</f>
        <v>14</v>
      </c>
      <c r="T70">
        <f>IF(ISNA(VLOOKUP($C70,MSD_Det!$C$17:$H$91,6,FALSE)),0,VLOOKUP($C70,MSD_Det!$C$17:$H$91,6,FALSE))</f>
        <v>18</v>
      </c>
      <c r="U70">
        <f>IF(ISNA(VLOOKUP($C70,SLE_Det!$C$17:$H$93,6,FALSE)),0,VLOOKUP($C70,SLE_Det!$C$17:$H$93,6,FALSE))</f>
        <v>25</v>
      </c>
    </row>
    <row r="71" spans="2:23" ht="45" x14ac:dyDescent="0.25">
      <c r="C71" s="766" t="s">
        <v>250</v>
      </c>
      <c r="D71" s="319" t="s">
        <v>366</v>
      </c>
      <c r="E71" s="492">
        <f t="shared" si="0"/>
        <v>13.845065722952473</v>
      </c>
      <c r="F71" s="361" t="s">
        <v>265</v>
      </c>
      <c r="G71" s="670" t="s">
        <v>19</v>
      </c>
      <c r="H71" s="364" t="s">
        <v>42</v>
      </c>
      <c r="I71" s="491">
        <v>0</v>
      </c>
      <c r="J71" s="491">
        <v>6.0629423660262889</v>
      </c>
      <c r="K71" s="491">
        <v>0</v>
      </c>
      <c r="L71" s="491">
        <v>7.782123356926185</v>
      </c>
      <c r="M71" s="491">
        <v>0</v>
      </c>
      <c r="N71" s="318"/>
      <c r="O71" s="486"/>
      <c r="Q71">
        <f>IF(ISNA(VLOOKUP($W71,BN_Det!$C$17:$H$92,6,FALSE)),0,VLOOKUP($W71,BN_Det!$C$17:$H$92,6,FALSE))</f>
        <v>5</v>
      </c>
      <c r="R71">
        <f>IF(ISNA(VLOOKUP($W71,KLO_Det!$C$17:$H$93,6,FALSE)),0,VLOOKUP($W71,KLO_Det!$C$17:$H$93,6,FALSE))</f>
        <v>4</v>
      </c>
      <c r="S71">
        <f>IF(ISNA(VLOOKUP($W71,LLG_Det!$C$17:$H$91,6,FALSE)),0,VLOOKUP($W71,LLG_Det!$C$17:$H$91,6,FALSE))</f>
        <v>5</v>
      </c>
      <c r="T71">
        <f>IF(ISNA(VLOOKUP($W71,MSD_Det!$C$17:$H$91,6,FALSE)),0,VLOOKUP($W71,MSD_Det!$C$17:$H$91,6,FALSE))</f>
        <v>3</v>
      </c>
      <c r="U71">
        <f>IF(ISNA(VLOOKUP($W71,SLE_Det!$C$17:$H$93,6,FALSE)),0,VLOOKUP($W71,SLE_Det!$C$17:$H$93,6,FALSE))</f>
        <v>5</v>
      </c>
      <c r="W71" t="s">
        <v>356</v>
      </c>
    </row>
    <row r="72" spans="2:23" x14ac:dyDescent="0.25">
      <c r="C72" s="766"/>
      <c r="D72" s="319" t="s">
        <v>367</v>
      </c>
      <c r="E72" s="492">
        <f t="shared" si="0"/>
        <v>0.52060465116279064</v>
      </c>
      <c r="F72" s="340" t="s">
        <v>265</v>
      </c>
      <c r="G72" s="18" t="s">
        <v>19</v>
      </c>
      <c r="H72" s="364" t="s">
        <v>44</v>
      </c>
      <c r="I72" s="346">
        <v>0</v>
      </c>
      <c r="J72" s="346">
        <v>0</v>
      </c>
      <c r="K72" s="346">
        <v>0</v>
      </c>
      <c r="L72" s="346">
        <v>0.52060465116279064</v>
      </c>
      <c r="M72" s="346">
        <v>0</v>
      </c>
      <c r="N72" s="318"/>
      <c r="O72" s="486"/>
      <c r="Q72">
        <f>IF(ISNA(VLOOKUP($W72,BN_Det!$C$17:$H$92,6,FALSE)),0,VLOOKUP($W72,BN_Det!$C$17:$H$92,6,FALSE))</f>
        <v>38</v>
      </c>
      <c r="R72">
        <f>IF(ISNA(VLOOKUP($W72,KLO_Det!$C$17:$H$93,6,FALSE)),0,VLOOKUP($W72,KLO_Det!$C$17:$H$93,6,FALSE))</f>
        <v>11</v>
      </c>
      <c r="S72">
        <f>IF(ISNA(VLOOKUP($W72,LLG_Det!$C$17:$H$91,6,FALSE)),0,VLOOKUP($W72,LLG_Det!$C$17:$H$91,6,FALSE))</f>
        <v>29</v>
      </c>
      <c r="T72">
        <f>IF(ISNA(VLOOKUP($W72,MSD_Det!$C$17:$H$91,6,FALSE)),0,VLOOKUP($W72,MSD_Det!$C$17:$H$91,6,FALSE))</f>
        <v>15</v>
      </c>
      <c r="U72">
        <f>IF(ISNA(VLOOKUP($W72,SLE_Det!$C$17:$H$93,6,FALSE)),0,VLOOKUP($W72,SLE_Det!$C$17:$H$93,6,FALSE))</f>
        <v>38</v>
      </c>
      <c r="W72" t="s">
        <v>354</v>
      </c>
    </row>
    <row r="73" spans="2:23" ht="30" x14ac:dyDescent="0.25">
      <c r="C73" s="766"/>
      <c r="D73" s="376" t="s">
        <v>426</v>
      </c>
      <c r="E73" s="492">
        <f t="shared" si="0"/>
        <v>3.0702704609462703</v>
      </c>
      <c r="F73" s="361" t="s">
        <v>265</v>
      </c>
      <c r="G73" s="371" t="s">
        <v>19</v>
      </c>
      <c r="H73" s="374" t="s">
        <v>44</v>
      </c>
      <c r="I73" s="491">
        <v>0</v>
      </c>
      <c r="J73" s="491">
        <v>0.14959903769045707</v>
      </c>
      <c r="K73" s="491">
        <v>0</v>
      </c>
      <c r="L73" s="491">
        <v>2.9206714232558131</v>
      </c>
      <c r="M73" s="491">
        <v>0</v>
      </c>
      <c r="N73" s="362"/>
      <c r="O73" s="486"/>
      <c r="Q73">
        <f>IF(ISNA(VLOOKUP($W73,BN_Det!$C$17:$H$92,6,FALSE)),0,VLOOKUP($W73,BN_Det!$C$17:$H$92,6,FALSE))</f>
        <v>29</v>
      </c>
      <c r="R73">
        <f>IF(ISNA(VLOOKUP($W73,KLO_Det!$C$17:$H$93,6,FALSE)),0,VLOOKUP($W73,KLO_Det!$C$17:$H$93,6,FALSE))</f>
        <v>2</v>
      </c>
      <c r="S73">
        <f>IF(ISNA(VLOOKUP($W73,LLG_Det!$C$17:$H$91,6,FALSE)),0,VLOOKUP($W73,LLG_Det!$C$17:$H$91,6,FALSE))</f>
        <v>13</v>
      </c>
      <c r="T73">
        <f>IF(ISNA(VLOOKUP($W73,MSD_Det!$C$17:$H$91,6,FALSE)),0,VLOOKUP($W73,MSD_Det!$C$17:$H$91,6,FALSE))</f>
        <v>13</v>
      </c>
      <c r="U73">
        <f>IF(ISNA(VLOOKUP($W73,SLE_Det!$C$17:$H$93,6,FALSE)),0,VLOOKUP($W73,SLE_Det!$C$17:$H$93,6,FALSE))</f>
        <v>15</v>
      </c>
      <c r="W73" t="s">
        <v>689</v>
      </c>
    </row>
    <row r="74" spans="2:23" x14ac:dyDescent="0.25">
      <c r="C74" s="766"/>
      <c r="D74" s="376" t="s">
        <v>695</v>
      </c>
      <c r="E74" s="492">
        <f t="shared" si="0"/>
        <v>36.225162831858405</v>
      </c>
      <c r="F74" s="671" t="s">
        <v>265</v>
      </c>
      <c r="G74" s="670" t="s">
        <v>19</v>
      </c>
      <c r="H74" s="374" t="s">
        <v>42</v>
      </c>
      <c r="I74" s="474">
        <v>11.725162831858405</v>
      </c>
      <c r="J74" s="474">
        <v>3</v>
      </c>
      <c r="K74" s="474">
        <v>1.5</v>
      </c>
      <c r="L74" s="474">
        <v>20</v>
      </c>
      <c r="M74" s="474">
        <v>0</v>
      </c>
      <c r="N74" s="672"/>
      <c r="O74" s="486"/>
      <c r="Q74">
        <f>IF(ISNA(VLOOKUP($W74,BN_Det!$C$17:$H$92,6,FALSE)),0,VLOOKUP($W74,BN_Det!$C$17:$H$92,6,FALSE))</f>
        <v>27</v>
      </c>
      <c r="R74">
        <f>IF(ISNA(VLOOKUP($W74,KLO_Det!$C$17:$H$93,6,FALSE)),0,VLOOKUP($W74,KLO_Det!$C$17:$H$93,6,FALSE))</f>
        <v>9</v>
      </c>
      <c r="S74">
        <f>IF(ISNA(VLOOKUP($W74,LLG_Det!$C$17:$H$91,6,FALSE)),0,VLOOKUP($W74,LLG_Det!$C$17:$H$91,6,FALSE))</f>
        <v>20</v>
      </c>
      <c r="T74">
        <f>IF(ISNA(VLOOKUP($W74,MSD_Det!$C$17:$H$91,6,FALSE)),0,VLOOKUP($W74,MSD_Det!$C$17:$H$91,6,FALSE))</f>
        <v>12</v>
      </c>
      <c r="U74">
        <f>IF(ISNA(VLOOKUP($W74,SLE_Det!$C$17:$H$93,6,FALSE)),0,VLOOKUP($W74,SLE_Det!$C$17:$H$93,6,FALSE))</f>
        <v>15</v>
      </c>
      <c r="W74" t="s">
        <v>699</v>
      </c>
    </row>
    <row r="75" spans="2:23" x14ac:dyDescent="0.25">
      <c r="C75" s="766"/>
      <c r="D75" s="376" t="s">
        <v>690</v>
      </c>
      <c r="E75" s="492">
        <f t="shared" si="0"/>
        <v>62.716765012148542</v>
      </c>
      <c r="F75" s="671" t="s">
        <v>265</v>
      </c>
      <c r="G75" s="670" t="s">
        <v>19</v>
      </c>
      <c r="H75" s="374" t="s">
        <v>42</v>
      </c>
      <c r="I75" s="474">
        <v>21.323700104130506</v>
      </c>
      <c r="J75" s="474">
        <v>6.8988441513363394</v>
      </c>
      <c r="K75" s="474">
        <v>4.3901735508503981</v>
      </c>
      <c r="L75" s="474">
        <v>23.832370704616444</v>
      </c>
      <c r="M75" s="474">
        <v>6.2716765012148539</v>
      </c>
      <c r="N75" s="672"/>
      <c r="O75" s="486"/>
      <c r="Q75">
        <f>IF(ISNA(VLOOKUP($W75,BN_Det!$C$17:$H$92,6,FALSE)),0,VLOOKUP($W75,BN_Det!$C$17:$H$92,6,FALSE))</f>
        <v>2</v>
      </c>
      <c r="R75">
        <f>IF(ISNA(VLOOKUP($W75,KLO_Det!$C$17:$H$93,6,FALSE)),0,VLOOKUP($W75,KLO_Det!$C$17:$H$93,6,FALSE))</f>
        <v>0</v>
      </c>
      <c r="S75">
        <f>IF(ISNA(VLOOKUP($W75,LLG_Det!$C$17:$H$91,6,FALSE)),0,VLOOKUP($W75,LLG_Det!$C$17:$H$91,6,FALSE))</f>
        <v>0</v>
      </c>
      <c r="T75">
        <f>IF(ISNA(VLOOKUP($W75,MSD_Det!$C$17:$H$91,6,FALSE)),0,VLOOKUP($W75,MSD_Det!$C$17:$H$91,6,FALSE))</f>
        <v>1</v>
      </c>
      <c r="U75">
        <f>IF(ISNA(VLOOKUP($W75,SLE_Det!$C$17:$H$93,6,FALSE)),0,VLOOKUP($W75,SLE_Det!$C$17:$H$93,6,FALSE))</f>
        <v>1</v>
      </c>
      <c r="W75" t="s">
        <v>692</v>
      </c>
    </row>
    <row r="76" spans="2:23" x14ac:dyDescent="0.25">
      <c r="C76" s="766"/>
      <c r="D76" s="318" t="s">
        <v>365</v>
      </c>
      <c r="E76" s="378">
        <f t="shared" si="0"/>
        <v>12.350725581395347</v>
      </c>
      <c r="F76" s="340" t="s">
        <v>265</v>
      </c>
      <c r="G76" s="18" t="s">
        <v>24</v>
      </c>
      <c r="H76" s="364" t="s">
        <v>392</v>
      </c>
      <c r="I76" s="378">
        <v>12.350725581395347</v>
      </c>
      <c r="J76" s="346">
        <v>0</v>
      </c>
      <c r="K76" s="346">
        <v>0</v>
      </c>
      <c r="L76" s="346">
        <v>0</v>
      </c>
      <c r="M76" s="346">
        <v>0</v>
      </c>
      <c r="N76" s="318"/>
      <c r="O76" s="486"/>
      <c r="Q76">
        <f>IF(ISNA(VLOOKUP($C76,BN_Det!$C$17:$H$92,6,FALSE)),0,VLOOKUP($C76,BN_Det!$C$17:$H$92,6,FALSE))</f>
        <v>0</v>
      </c>
      <c r="R76">
        <f>IF(ISNA(VLOOKUP($C76,KLO_Det!$C$17:$H$93,6,FALSE)),0,VLOOKUP($C76,KLO_Det!$C$17:$H$93,6,FALSE))</f>
        <v>0</v>
      </c>
      <c r="S76">
        <f>IF(ISNA(VLOOKUP($C76,LLG_Det!$C$17:$H$91,6,FALSE)),0,VLOOKUP($C76,LLG_Det!$C$17:$H$91,6,FALSE))</f>
        <v>0</v>
      </c>
      <c r="T76">
        <f>IF(ISNA(VLOOKUP($C76,MSD_Det!$C$17:$H$91,6,FALSE)),0,VLOOKUP($C76,MSD_Det!$C$17:$H$91,6,FALSE))</f>
        <v>0</v>
      </c>
      <c r="U76">
        <f>IF(ISNA(VLOOKUP($C76,SLE_Det!$C$17:$H$93,6,FALSE)),0,VLOOKUP($C76,SLE_Det!$C$17:$H$93,6,FALSE))</f>
        <v>0</v>
      </c>
    </row>
    <row r="77" spans="2:23" x14ac:dyDescent="0.25">
      <c r="C77" s="766"/>
      <c r="D77" s="375" t="s">
        <v>398</v>
      </c>
      <c r="E77" s="378">
        <f>SUM(I77:M77)</f>
        <v>8.3465320930232547</v>
      </c>
      <c r="F77" s="340" t="s">
        <v>265</v>
      </c>
      <c r="G77" s="18" t="s">
        <v>24</v>
      </c>
      <c r="H77" s="364" t="s">
        <v>392</v>
      </c>
      <c r="I77" s="378">
        <v>8.3465320930232547</v>
      </c>
      <c r="J77" s="346">
        <v>0</v>
      </c>
      <c r="K77" s="346">
        <v>0</v>
      </c>
      <c r="L77" s="346">
        <v>0</v>
      </c>
      <c r="M77" s="346">
        <v>0</v>
      </c>
      <c r="N77" s="318"/>
      <c r="O77" s="486"/>
      <c r="Q77">
        <f>IF(ISNA(VLOOKUP($C77,BN_Det!$C$17:$H$92,6,FALSE)),0,VLOOKUP($C77,BN_Det!$C$17:$H$92,6,FALSE))</f>
        <v>0</v>
      </c>
      <c r="R77">
        <f>IF(ISNA(VLOOKUP($C77,KLO_Det!$C$17:$H$93,6,FALSE)),0,VLOOKUP($C77,KLO_Det!$C$17:$H$93,6,FALSE))</f>
        <v>0</v>
      </c>
      <c r="S77">
        <f>IF(ISNA(VLOOKUP($C77,LLG_Det!$C$17:$H$91,6,FALSE)),0,VLOOKUP($C77,LLG_Det!$C$17:$H$91,6,FALSE))</f>
        <v>0</v>
      </c>
      <c r="T77">
        <f>IF(ISNA(VLOOKUP($C77,MSD_Det!$C$17:$H$91,6,FALSE)),0,VLOOKUP($C77,MSD_Det!$C$17:$H$91,6,FALSE))</f>
        <v>0</v>
      </c>
      <c r="U77">
        <f>IF(ISNA(VLOOKUP($C77,SLE_Det!$C$17:$H$93,6,FALSE)),0,VLOOKUP($C77,SLE_Det!$C$17:$H$93,6,FALSE))</f>
        <v>0</v>
      </c>
    </row>
    <row r="79" spans="2:23" x14ac:dyDescent="0.25">
      <c r="B79" s="25" t="s">
        <v>259</v>
      </c>
      <c r="E79" s="365"/>
      <c r="F79" s="5"/>
      <c r="G79" s="700"/>
      <c r="H79" s="700"/>
      <c r="I79" s="365"/>
      <c r="J79" s="365"/>
      <c r="K79" s="5"/>
      <c r="L79" s="365"/>
    </row>
    <row r="80" spans="2:23" ht="14.45" customHeight="1" x14ac:dyDescent="0.25">
      <c r="C80" s="348"/>
      <c r="D80" s="348"/>
      <c r="E80" s="350" t="s">
        <v>230</v>
      </c>
      <c r="F80" s="348"/>
      <c r="G80" s="355"/>
      <c r="H80" s="355"/>
      <c r="I80" s="348"/>
      <c r="J80" s="351"/>
      <c r="K80" s="759" t="s">
        <v>152</v>
      </c>
      <c r="L80" s="759" t="s">
        <v>153</v>
      </c>
      <c r="M80" s="356"/>
      <c r="N80" s="352"/>
    </row>
    <row r="81" spans="2:21" x14ac:dyDescent="0.25">
      <c r="C81" s="349" t="s">
        <v>231</v>
      </c>
      <c r="D81" s="349" t="s">
        <v>232</v>
      </c>
      <c r="E81" s="353" t="s">
        <v>235</v>
      </c>
      <c r="F81" s="349" t="s">
        <v>264</v>
      </c>
      <c r="G81" s="349" t="s">
        <v>373</v>
      </c>
      <c r="H81" s="349" t="s">
        <v>101</v>
      </c>
      <c r="I81" s="349" t="s">
        <v>151</v>
      </c>
      <c r="J81" s="353" t="s">
        <v>63</v>
      </c>
      <c r="K81" s="759"/>
      <c r="L81" s="759"/>
      <c r="M81" s="354" t="s">
        <v>77</v>
      </c>
      <c r="N81" s="367"/>
    </row>
    <row r="82" spans="2:21" x14ac:dyDescent="0.25">
      <c r="C82" s="767" t="s">
        <v>258</v>
      </c>
      <c r="D82" s="345" t="s">
        <v>377</v>
      </c>
      <c r="E82" s="378">
        <f t="shared" ref="E82:E88" si="1">SUM(I82:M82)</f>
        <v>2.4398451616262502</v>
      </c>
      <c r="F82" s="340" t="s">
        <v>265</v>
      </c>
      <c r="G82" s="18" t="s">
        <v>19</v>
      </c>
      <c r="H82" s="364" t="s">
        <v>44</v>
      </c>
      <c r="I82" s="378">
        <v>0.71413154469158702</v>
      </c>
      <c r="J82" s="378">
        <v>0.3575228334887508</v>
      </c>
      <c r="K82" s="346">
        <v>0</v>
      </c>
      <c r="L82" s="378">
        <v>1.3681907834459122</v>
      </c>
      <c r="M82" s="378">
        <v>0</v>
      </c>
      <c r="N82" s="318"/>
      <c r="O82" s="486"/>
    </row>
    <row r="83" spans="2:21" x14ac:dyDescent="0.25">
      <c r="C83" s="769"/>
      <c r="D83" s="377" t="s">
        <v>257</v>
      </c>
      <c r="E83" s="346">
        <f t="shared" si="1"/>
        <v>1.0418769137966808</v>
      </c>
      <c r="F83" s="340" t="s">
        <v>265</v>
      </c>
      <c r="G83" s="18" t="s">
        <v>19</v>
      </c>
      <c r="H83" s="364" t="s">
        <v>44</v>
      </c>
      <c r="I83" s="378">
        <f>I82/Feeder_Vols!$D$25</f>
        <v>0.30495261811294533</v>
      </c>
      <c r="J83" s="378">
        <f>J82/Feeder_Vols!$D$25</f>
        <v>0.15267148597201238</v>
      </c>
      <c r="K83" s="346">
        <f>K82/Feeder_Vols!$D$25</f>
        <v>0</v>
      </c>
      <c r="L83" s="378">
        <f>L82/Feeder_Vols!$D$25</f>
        <v>0.58425280971172322</v>
      </c>
      <c r="M83" s="378">
        <f>M82/Feeder_Vols!$D$25</f>
        <v>0</v>
      </c>
      <c r="N83" s="318"/>
      <c r="O83" s="486"/>
      <c r="Q83">
        <f>IF(ISNA(VLOOKUP("Surge Arrestor Replacement",BN_Det!$C$17:$H$92,6,FALSE)),0,VLOOKUP("Surge Arrestor Replacement",BN_Det!$C$17:$H$92,6,FALSE))</f>
        <v>1559</v>
      </c>
      <c r="R83">
        <f>IF(ISNA(VLOOKUP("Surge Arrestor Replacement",KLO_Det!$C$17:$H$93,6,FALSE)),0,VLOOKUP("Surge Arrestor Replacement",KLO_Det!$C$17:$H$93,6,FALSE))</f>
        <v>201</v>
      </c>
      <c r="S83">
        <f>IF(ISNA(VLOOKUP("Surge Arrestor Replacement",LLG_Det!$C$17:$H$91,6,FALSE)),0,VLOOKUP("Surge Arrestor Replacement",LLG_Det!$C$17:$H$91,6,FALSE))</f>
        <v>511</v>
      </c>
      <c r="T83">
        <f>IF(ISNA(VLOOKUP("Surge Arrestor Replacement",MSD_Det!$C$17:$H$91,6,FALSE)),0,VLOOKUP("Surge Arrestor Replacement",MSD_Det!$C$17:$H$91,6,FALSE))</f>
        <v>977</v>
      </c>
      <c r="U83">
        <f>IF(ISNA(VLOOKUP("Surge Arrestor Replacement",SLE_Det!$C$17:$H$93,6,FALSE)),0,VLOOKUP("Surge Arrestor Replacement",SLE_Det!$C$17:$H$93,6,FALSE))</f>
        <v>1281</v>
      </c>
    </row>
    <row r="84" spans="2:21" x14ac:dyDescent="0.25">
      <c r="C84" s="767" t="s">
        <v>493</v>
      </c>
      <c r="D84" s="318" t="s">
        <v>495</v>
      </c>
      <c r="E84" s="378">
        <f t="shared" si="1"/>
        <v>0.29447513812154696</v>
      </c>
      <c r="F84" s="340" t="s">
        <v>265</v>
      </c>
      <c r="G84" s="18" t="s">
        <v>19</v>
      </c>
      <c r="H84" s="364" t="s">
        <v>44</v>
      </c>
      <c r="I84" s="378">
        <v>0</v>
      </c>
      <c r="J84" s="378">
        <v>0.29447513812154696</v>
      </c>
      <c r="K84" s="378">
        <v>0</v>
      </c>
      <c r="L84" s="378">
        <v>0</v>
      </c>
      <c r="M84" s="378">
        <v>0</v>
      </c>
      <c r="N84" s="343"/>
      <c r="Q84">
        <f>IF(ISNA(VLOOKUP($D84,BN_Det!$C$17:$H$92,6,FALSE)),0,VLOOKUP($D84,BN_Det!$C$17:$H$92,6,FALSE))</f>
        <v>8</v>
      </c>
      <c r="R84">
        <f>IF(ISNA(VLOOKUP($D84,KLO_Det!$C$17:$H$93,6,FALSE)),0,VLOOKUP($D84,KLO_Det!$C$17:$H$93,6,FALSE))</f>
        <v>6</v>
      </c>
      <c r="S84">
        <f>IF(ISNA(VLOOKUP($D84,LLG_Det!$C$17:$H$91,6,FALSE)),0,VLOOKUP($D84,LLG_Det!$C$17:$H$91,6,FALSE))</f>
        <v>4</v>
      </c>
      <c r="T84">
        <f>IF(ISNA(VLOOKUP($D84,MSD_Det!$C$17:$H$91,6,FALSE)),0,VLOOKUP($D84,MSD_Det!$C$17:$H$91,6,FALSE))</f>
        <v>5</v>
      </c>
      <c r="U84">
        <f>IF(ISNA(VLOOKUP($D84,SLE_Det!$C$17:$H$93,6,FALSE)),0,VLOOKUP($D84,SLE_Det!$C$17:$H$93,6,FALSE))</f>
        <v>5</v>
      </c>
    </row>
    <row r="85" spans="2:21" x14ac:dyDescent="0.25">
      <c r="C85" s="768"/>
      <c r="D85" s="318" t="s">
        <v>496</v>
      </c>
      <c r="E85" s="378">
        <f t="shared" si="1"/>
        <v>9.8158379373848987</v>
      </c>
      <c r="F85" s="340" t="s">
        <v>265</v>
      </c>
      <c r="G85" s="18" t="s">
        <v>19</v>
      </c>
      <c r="H85" s="364" t="s">
        <v>44</v>
      </c>
      <c r="I85" s="378">
        <v>0</v>
      </c>
      <c r="J85" s="378">
        <v>9.8158379373848987</v>
      </c>
      <c r="K85" s="378">
        <v>0</v>
      </c>
      <c r="L85" s="378">
        <v>0</v>
      </c>
      <c r="M85" s="378">
        <v>0</v>
      </c>
      <c r="N85" s="343"/>
      <c r="Q85">
        <f>IF(ISNA(VLOOKUP($D85,BN_Det!$C$17:$H$92,6,FALSE)),0,VLOOKUP($D85,BN_Det!$C$17:$H$92,6,FALSE))</f>
        <v>8</v>
      </c>
      <c r="R85">
        <f>IF(ISNA(VLOOKUP($D85,KLO_Det!$C$17:$H$93,6,FALSE)),0,VLOOKUP($D85,KLO_Det!$C$17:$H$93,6,FALSE))</f>
        <v>6</v>
      </c>
      <c r="S85">
        <f>IF(ISNA(VLOOKUP($D85,LLG_Det!$C$17:$H$91,6,FALSE)),0,VLOOKUP($D85,LLG_Det!$C$17:$H$91,6,FALSE))</f>
        <v>4</v>
      </c>
      <c r="T85">
        <f>IF(ISNA(VLOOKUP($D85,MSD_Det!$C$17:$H$91,6,FALSE)),0,VLOOKUP($D85,MSD_Det!$C$17:$H$91,6,FALSE))</f>
        <v>5</v>
      </c>
      <c r="U85">
        <f>IF(ISNA(VLOOKUP($D85,SLE_Det!$C$17:$H$93,6,FALSE)),0,VLOOKUP($D85,SLE_Det!$C$17:$H$93,6,FALSE))</f>
        <v>5</v>
      </c>
    </row>
    <row r="86" spans="2:21" x14ac:dyDescent="0.25">
      <c r="C86" s="768"/>
      <c r="D86" s="318" t="s">
        <v>497</v>
      </c>
      <c r="E86" s="378">
        <f t="shared" si="1"/>
        <v>20.858655616942912</v>
      </c>
      <c r="F86" s="340" t="s">
        <v>265</v>
      </c>
      <c r="G86" s="18" t="s">
        <v>19</v>
      </c>
      <c r="H86" s="364" t="s">
        <v>44</v>
      </c>
      <c r="I86" s="378">
        <v>4.9079189686924494</v>
      </c>
      <c r="J86" s="378">
        <v>0</v>
      </c>
      <c r="K86" s="378">
        <v>0</v>
      </c>
      <c r="L86" s="378">
        <v>15.95073664825046</v>
      </c>
      <c r="M86" s="378">
        <v>0</v>
      </c>
      <c r="N86" s="343"/>
      <c r="Q86">
        <f>IF(ISNA(VLOOKUP($D86,BN_Det!$C$17:$H$92,6,FALSE)),0,VLOOKUP($D86,BN_Det!$C$17:$H$92,6,FALSE))</f>
        <v>6</v>
      </c>
      <c r="R86">
        <f>IF(ISNA(VLOOKUP($D86,KLO_Det!$C$17:$H$93,6,FALSE)),0,VLOOKUP($D86,KLO_Det!$C$17:$H$93,6,FALSE))</f>
        <v>4</v>
      </c>
      <c r="S86">
        <f>IF(ISNA(VLOOKUP($D86,LLG_Det!$C$17:$H$91,6,FALSE)),0,VLOOKUP($D86,LLG_Det!$C$17:$H$91,6,FALSE))</f>
        <v>4</v>
      </c>
      <c r="T86">
        <f>IF(ISNA(VLOOKUP($D86,MSD_Det!$C$17:$H$91,6,FALSE)),0,VLOOKUP($D86,MSD_Det!$C$17:$H$91,6,FALSE))</f>
        <v>6</v>
      </c>
      <c r="U86">
        <f>IF(ISNA(VLOOKUP($D86,SLE_Det!$C$17:$H$93,6,FALSE)),0,VLOOKUP($D86,SLE_Det!$C$17:$H$93,6,FALSE))</f>
        <v>6</v>
      </c>
    </row>
    <row r="87" spans="2:21" x14ac:dyDescent="0.25">
      <c r="C87" s="769"/>
      <c r="D87" s="343" t="s">
        <v>523</v>
      </c>
      <c r="E87" s="378">
        <f t="shared" si="1"/>
        <v>0.50583473082974761</v>
      </c>
      <c r="F87" s="340" t="s">
        <v>265</v>
      </c>
      <c r="G87" s="18" t="s">
        <v>19</v>
      </c>
      <c r="H87" s="364" t="s">
        <v>44</v>
      </c>
      <c r="I87" s="716">
        <v>4.7168141592920348E-2</v>
      </c>
      <c r="J87" s="378">
        <v>0</v>
      </c>
      <c r="K87" s="378">
        <v>0</v>
      </c>
      <c r="L87" s="378">
        <v>0.45866658923682724</v>
      </c>
      <c r="M87" s="378">
        <v>0</v>
      </c>
      <c r="N87" s="343" t="s">
        <v>707</v>
      </c>
      <c r="Q87">
        <f>IF(ISNA(VLOOKUP($D87,BN_Det!$C$17:$H$92,6,FALSE)),0,VLOOKUP($D87,BN_Det!$C$17:$H$92,6,FALSE))</f>
        <v>2774</v>
      </c>
      <c r="R87">
        <f>IF(ISNA(VLOOKUP($D87,KLO_Det!$C$17:$H$93,6,FALSE)),0,VLOOKUP($D87,KLO_Det!$C$17:$H$93,6,FALSE))</f>
        <v>540</v>
      </c>
      <c r="S87">
        <f>IF(ISNA(VLOOKUP($D87,LLG_Det!$C$17:$H$91,6,FALSE)),0,VLOOKUP($D87,LLG_Det!$C$17:$H$91,6,FALSE))</f>
        <v>395</v>
      </c>
      <c r="T87">
        <f>IF(ISNA(VLOOKUP($D87,MSD_Det!$C$17:$H$91,6,FALSE)),0,VLOOKUP($D87,MSD_Det!$C$17:$H$91,6,FALSE))</f>
        <v>0</v>
      </c>
      <c r="U87">
        <f>IF(ISNA(VLOOKUP($D87,SLE_Det!$C$17:$H$93,6,FALSE)),0,VLOOKUP($D87,SLE_Det!$C$17:$H$93,6,FALSE))</f>
        <v>3224</v>
      </c>
    </row>
    <row r="88" spans="2:21" x14ac:dyDescent="0.25">
      <c r="C88" s="447" t="s">
        <v>77</v>
      </c>
      <c r="D88" s="343" t="s">
        <v>609</v>
      </c>
      <c r="E88" s="378">
        <f t="shared" si="1"/>
        <v>65.766114180478823</v>
      </c>
      <c r="F88" s="340" t="s">
        <v>265</v>
      </c>
      <c r="G88" s="18" t="s">
        <v>19</v>
      </c>
      <c r="H88" s="364" t="s">
        <v>42</v>
      </c>
      <c r="I88" s="378">
        <v>29.447513812154696</v>
      </c>
      <c r="J88" s="378">
        <v>0</v>
      </c>
      <c r="K88" s="378">
        <v>0</v>
      </c>
      <c r="L88" s="378">
        <v>36.318600368324127</v>
      </c>
      <c r="M88" s="378">
        <v>0</v>
      </c>
      <c r="N88" s="318"/>
      <c r="Q88">
        <f>IF(ISNA(VLOOKUP($D88,BN_Det!$C$17:$H$92,6,FALSE)),0,VLOOKUP($D88,BN_Det!$C$17:$H$92,6,FALSE))</f>
        <v>0</v>
      </c>
      <c r="R88">
        <f>IF(ISNA(VLOOKUP($D88,KLO_Det!$C$17:$H$93,6,FALSE)),0,VLOOKUP($D88,KLO_Det!$C$17:$H$93,6,FALSE))</f>
        <v>0</v>
      </c>
      <c r="S88">
        <f>IF(ISNA(VLOOKUP($D88,LLG_Det!$C$17:$H$91,6,FALSE)),0,VLOOKUP($D88,LLG_Det!$C$17:$H$91,6,FALSE))</f>
        <v>0</v>
      </c>
      <c r="T88">
        <f>IF(ISNA(VLOOKUP($D88,MSD_Det!$C$17:$H$91,6,FALSE)),0,VLOOKUP($D88,MSD_Det!$C$17:$H$91,6,FALSE))</f>
        <v>0</v>
      </c>
      <c r="U88">
        <f>IF(ISNA(VLOOKUP($D88,SLE_Det!$C$17:$H$93,6,FALSE)),0,VLOOKUP($D88,SLE_Det!$C$17:$H$93,6,FALSE))</f>
        <v>0</v>
      </c>
    </row>
    <row r="90" spans="2:21" x14ac:dyDescent="0.25">
      <c r="B90" s="25" t="s">
        <v>233</v>
      </c>
    </row>
    <row r="91" spans="2:21" ht="14.45" customHeight="1" x14ac:dyDescent="0.25">
      <c r="C91" s="348"/>
      <c r="D91" s="348"/>
      <c r="E91" s="350" t="s">
        <v>230</v>
      </c>
      <c r="F91" s="348"/>
      <c r="G91" s="355"/>
      <c r="H91" s="355"/>
      <c r="I91" s="348"/>
      <c r="J91" s="351"/>
      <c r="K91" s="759" t="s">
        <v>152</v>
      </c>
      <c r="L91" s="759" t="s">
        <v>153</v>
      </c>
      <c r="M91" s="356"/>
      <c r="N91" s="352"/>
    </row>
    <row r="92" spans="2:21" x14ac:dyDescent="0.25">
      <c r="C92" s="349" t="s">
        <v>231</v>
      </c>
      <c r="D92" s="349" t="s">
        <v>232</v>
      </c>
      <c r="E92" s="353" t="s">
        <v>235</v>
      </c>
      <c r="F92" s="349" t="s">
        <v>264</v>
      </c>
      <c r="G92" s="349" t="s">
        <v>373</v>
      </c>
      <c r="H92" s="349" t="s">
        <v>101</v>
      </c>
      <c r="I92" s="349" t="s">
        <v>151</v>
      </c>
      <c r="J92" s="353" t="s">
        <v>63</v>
      </c>
      <c r="K92" s="759"/>
      <c r="L92" s="759"/>
      <c r="M92" s="354" t="s">
        <v>77</v>
      </c>
      <c r="N92" s="367"/>
    </row>
    <row r="93" spans="2:21" x14ac:dyDescent="0.25">
      <c r="C93" s="318" t="s">
        <v>237</v>
      </c>
      <c r="D93" s="318" t="s">
        <v>238</v>
      </c>
      <c r="E93" s="346">
        <f>SUM(I93:M93)</f>
        <v>50.998181121378813</v>
      </c>
      <c r="F93" s="340" t="s">
        <v>265</v>
      </c>
      <c r="G93" s="18" t="s">
        <v>19</v>
      </c>
      <c r="H93" s="364" t="s">
        <v>44</v>
      </c>
      <c r="I93" s="378">
        <v>14.150442477876103</v>
      </c>
      <c r="J93" s="378">
        <v>2.2999285577455097</v>
      </c>
      <c r="K93" s="378">
        <v>4.403199256673541</v>
      </c>
      <c r="L93" s="378">
        <v>30.144610829083657</v>
      </c>
      <c r="M93" s="378">
        <v>0</v>
      </c>
      <c r="N93" s="318"/>
      <c r="Q93">
        <f>IF(ISNA(VLOOKUP($C93,BN_Det!$C$17:$H$92,6,FALSE)),0,VLOOKUP($C93,BN_Det!$C$17:$H$92,6,FALSE))</f>
        <v>5</v>
      </c>
      <c r="R93">
        <f>IF(ISNA(VLOOKUP($C93,KLO_Det!$C$17:$H$93,6,FALSE)),0,VLOOKUP($C93,KLO_Det!$C$17:$H$93,6,FALSE))</f>
        <v>3</v>
      </c>
      <c r="S93">
        <f>IF(ISNA(VLOOKUP($C93,LLG_Det!$C$17:$H$91,6,FALSE)),0,VLOOKUP($C93,LLG_Det!$C$17:$H$91,6,FALSE))</f>
        <v>1</v>
      </c>
      <c r="T93">
        <f>IF(ISNA(VLOOKUP($C93,MSD_Det!$C$17:$H$91,6,FALSE)),0,VLOOKUP($C93,MSD_Det!$C$17:$H$91,6,FALSE))</f>
        <v>1</v>
      </c>
      <c r="U93">
        <f>IF(ISNA(VLOOKUP($C93,SLE_Det!$C$17:$H$93,6,FALSE)),0,VLOOKUP($C93,SLE_Det!$C$17:$H$93,6,FALSE))</f>
        <v>5</v>
      </c>
    </row>
    <row r="94" spans="2:21" x14ac:dyDescent="0.25">
      <c r="C94" s="318" t="s">
        <v>239</v>
      </c>
      <c r="D94" s="318" t="s">
        <v>240</v>
      </c>
      <c r="E94" s="346">
        <f>SUM(I94:M94)</f>
        <v>62.716765012148542</v>
      </c>
      <c r="F94" s="340" t="s">
        <v>265</v>
      </c>
      <c r="G94" s="18" t="s">
        <v>19</v>
      </c>
      <c r="H94" s="364" t="s">
        <v>44</v>
      </c>
      <c r="I94" s="346">
        <v>21.323700104130506</v>
      </c>
      <c r="J94" s="346">
        <v>6.8988441513363394</v>
      </c>
      <c r="K94" s="346">
        <v>4.3901735508503981</v>
      </c>
      <c r="L94" s="346">
        <v>23.832370704616444</v>
      </c>
      <c r="M94" s="346">
        <v>6.2716765012148539</v>
      </c>
      <c r="N94" s="318"/>
      <c r="Q94">
        <f>IF(ISNA(VLOOKUP($C94,BN_Det!$C$17:$H$92,6,FALSE)),0,VLOOKUP($C94,BN_Det!$C$17:$H$92,6,FALSE))</f>
        <v>9</v>
      </c>
      <c r="R94">
        <f>IF(ISNA(VLOOKUP($C94,KLO_Det!$C$17:$H$93,6,FALSE)),0,VLOOKUP($C94,KLO_Det!$C$17:$H$93,6,FALSE))</f>
        <v>1</v>
      </c>
      <c r="S94">
        <f>IF(ISNA(VLOOKUP($C94,LLG_Det!$C$17:$H$91,6,FALSE)),0,VLOOKUP($C94,LLG_Det!$C$17:$H$91,6,FALSE))</f>
        <v>5</v>
      </c>
      <c r="T94">
        <f>IF(ISNA(VLOOKUP($C94,MSD_Det!$C$17:$H$91,6,FALSE)),0,VLOOKUP($C94,MSD_Det!$C$17:$H$91,6,FALSE))</f>
        <v>4</v>
      </c>
      <c r="U94">
        <f>IF(ISNA(VLOOKUP($C94,SLE_Det!$C$17:$H$93,6,FALSE)),0,VLOOKUP($C94,SLE_Det!$C$17:$H$93,6,FALSE))</f>
        <v>6</v>
      </c>
    </row>
    <row r="95" spans="2:21" x14ac:dyDescent="0.25">
      <c r="C95" s="318" t="s">
        <v>241</v>
      </c>
      <c r="D95" s="318" t="s">
        <v>242</v>
      </c>
      <c r="E95" s="346">
        <f>SUM(I95:M95)</f>
        <v>46.582464651162795</v>
      </c>
      <c r="F95" s="340" t="s">
        <v>265</v>
      </c>
      <c r="G95" s="18" t="s">
        <v>19</v>
      </c>
      <c r="H95" s="364" t="s">
        <v>44</v>
      </c>
      <c r="I95" s="346">
        <v>14.297621705426357</v>
      </c>
      <c r="J95" s="378">
        <v>21.812963023255811</v>
      </c>
      <c r="K95" s="378">
        <v>0</v>
      </c>
      <c r="L95" s="378">
        <v>10.471879922480621</v>
      </c>
      <c r="M95" s="346">
        <v>0</v>
      </c>
      <c r="N95" s="318"/>
      <c r="Q95">
        <f>IF(ISNA(VLOOKUP($C95,BN_Det!$C$17:$H$92,6,FALSE)),0,VLOOKUP($C95,BN_Det!$C$17:$H$92,6,FALSE))</f>
        <v>0</v>
      </c>
      <c r="R95">
        <f>IF(ISNA(VLOOKUP($C95,KLO_Det!$C$17:$H$93,6,FALSE)),0,VLOOKUP($C95,KLO_Det!$C$17:$H$93,6,FALSE))</f>
        <v>0</v>
      </c>
      <c r="S95">
        <f>IF(ISNA(VLOOKUP($C95,LLG_Det!$C$17:$H$91,6,FALSE)),0,VLOOKUP($C95,LLG_Det!$C$17:$H$91,6,FALSE))</f>
        <v>0</v>
      </c>
      <c r="T95">
        <f>IF(ISNA(VLOOKUP($C95,MSD_Det!$C$17:$H$91,6,FALSE)),0,VLOOKUP($C95,MSD_Det!$C$17:$H$91,6,FALSE))</f>
        <v>0</v>
      </c>
      <c r="U95">
        <f>IF(ISNA(VLOOKUP($C95,SLE_Det!$C$17:$H$93,6,FALSE)),0,VLOOKUP($C95,SLE_Det!$C$17:$H$93,6,FALSE))</f>
        <v>0</v>
      </c>
    </row>
    <row r="96" spans="2:21" x14ac:dyDescent="0.25">
      <c r="C96" s="318" t="s">
        <v>243</v>
      </c>
      <c r="D96" s="318" t="s">
        <v>244</v>
      </c>
      <c r="E96" s="346">
        <f>SUM(I96:M96)</f>
        <v>337.0941791069767</v>
      </c>
      <c r="F96" s="340" t="s">
        <v>265</v>
      </c>
      <c r="G96" s="18" t="s">
        <v>19</v>
      </c>
      <c r="H96" s="364" t="s">
        <v>44</v>
      </c>
      <c r="I96" s="346">
        <v>182.28643631627907</v>
      </c>
      <c r="J96" s="378">
        <v>33.832484883720923</v>
      </c>
      <c r="K96" s="378">
        <v>0</v>
      </c>
      <c r="L96" s="378">
        <v>120.97525790697672</v>
      </c>
      <c r="M96" s="346">
        <v>0</v>
      </c>
      <c r="N96" s="318"/>
      <c r="Q96">
        <f>IF(ISNA(VLOOKUP($C96,BN_Det!$C$17:$H$92,6,FALSE)),0,VLOOKUP($C96,BN_Det!$C$17:$H$92,6,FALSE))</f>
        <v>0</v>
      </c>
      <c r="R96">
        <f>IF(ISNA(VLOOKUP($C96,KLO_Det!$C$17:$H$93,6,FALSE)),0,VLOOKUP($C96,KLO_Det!$C$17:$H$93,6,FALSE))</f>
        <v>0</v>
      </c>
      <c r="S96">
        <f>IF(ISNA(VLOOKUP($C96,LLG_Det!$C$17:$H$91,6,FALSE)),0,VLOOKUP($C96,LLG_Det!$C$17:$H$91,6,FALSE))</f>
        <v>0</v>
      </c>
      <c r="T96">
        <f>IF(ISNA(VLOOKUP($C96,MSD_Det!$C$17:$H$91,6,FALSE)),0,VLOOKUP($C96,MSD_Det!$C$17:$H$91,6,FALSE))</f>
        <v>0</v>
      </c>
      <c r="U96">
        <f>IF(ISNA(VLOOKUP($C96,SLE_Det!$C$17:$H$93,6,FALSE)),0,VLOOKUP($C96,SLE_Det!$C$17:$H$93,6,FALSE))</f>
        <v>1</v>
      </c>
    </row>
    <row r="97" spans="2:23" x14ac:dyDescent="0.25">
      <c r="F97" s="53"/>
    </row>
    <row r="99" spans="2:23" x14ac:dyDescent="0.25">
      <c r="B99" s="25" t="s">
        <v>260</v>
      </c>
      <c r="E99" s="124"/>
      <c r="I99" s="429"/>
    </row>
    <row r="100" spans="2:23" ht="14.45" customHeight="1" x14ac:dyDescent="0.25">
      <c r="C100" s="348"/>
      <c r="D100" s="348"/>
      <c r="E100" s="350" t="s">
        <v>230</v>
      </c>
      <c r="F100" s="348"/>
      <c r="G100" s="355"/>
      <c r="H100" s="355"/>
      <c r="I100" s="348"/>
      <c r="J100" s="351"/>
      <c r="K100" s="759" t="s">
        <v>152</v>
      </c>
      <c r="L100" s="759" t="s">
        <v>153</v>
      </c>
      <c r="M100" s="356"/>
      <c r="N100" s="352"/>
    </row>
    <row r="101" spans="2:23" x14ac:dyDescent="0.25">
      <c r="C101" s="349" t="s">
        <v>231</v>
      </c>
      <c r="D101" s="349" t="s">
        <v>232</v>
      </c>
      <c r="E101" s="353" t="s">
        <v>235</v>
      </c>
      <c r="F101" s="349" t="s">
        <v>264</v>
      </c>
      <c r="G101" s="349" t="s">
        <v>373</v>
      </c>
      <c r="H101" s="349" t="s">
        <v>101</v>
      </c>
      <c r="I101" s="349" t="s">
        <v>151</v>
      </c>
      <c r="J101" s="353" t="s">
        <v>63</v>
      </c>
      <c r="K101" s="759"/>
      <c r="L101" s="759"/>
      <c r="M101" s="354" t="s">
        <v>77</v>
      </c>
      <c r="N101" s="367"/>
    </row>
    <row r="102" spans="2:23" ht="45" x14ac:dyDescent="0.25">
      <c r="C102" s="760" t="s">
        <v>261</v>
      </c>
      <c r="D102" s="319" t="s">
        <v>528</v>
      </c>
      <c r="E102" s="474">
        <f>SUM(I102:M102)</f>
        <v>0</v>
      </c>
      <c r="F102" s="361" t="s">
        <v>265</v>
      </c>
      <c r="G102" s="371" t="s">
        <v>19</v>
      </c>
      <c r="H102" s="374" t="s">
        <v>42</v>
      </c>
      <c r="I102" s="721"/>
      <c r="J102" s="721"/>
      <c r="K102" s="721"/>
      <c r="L102" s="721"/>
      <c r="M102" s="721"/>
      <c r="N102" s="343" t="s">
        <v>724</v>
      </c>
      <c r="Q102">
        <f>IF(ISNA(VLOOKUP($V102,BN_Det!$C$17:$H$92,6,FALSE)),0,VLOOKUP($V102,BN_Det!$C$17:$H$92,6,FALSE))</f>
        <v>0</v>
      </c>
      <c r="R102">
        <f>IF(ISNA(VLOOKUP($V102,KLO_Det!$C$17:$H$93,6,FALSE)),0,VLOOKUP($V102,KLO_Det!$C$17:$H$93,6,FALSE))</f>
        <v>0</v>
      </c>
      <c r="S102">
        <f>IF(ISNA(VLOOKUP($V102,LLG_Det!$C$17:$H$91,6,FALSE)),0,VLOOKUP($V102,LLG_Det!$C$17:$H$91,6,FALSE))</f>
        <v>0</v>
      </c>
      <c r="T102">
        <f>IF(ISNA(VLOOKUP($V102,MSD_Det!$C$17:$H$91,6,FALSE)),0,VLOOKUP($V102,MSD_Det!$C$17:$H$91,6,FALSE))</f>
        <v>0</v>
      </c>
      <c r="U102">
        <f>IF(ISNA(VLOOKUP($V102,SLE_Det!$C$17:$H$93,6,FALSE)),0,VLOOKUP($V102,SLE_Det!$C$17:$H$93,6,FALSE))</f>
        <v>0</v>
      </c>
    </row>
    <row r="103" spans="2:23" x14ac:dyDescent="0.25">
      <c r="C103" s="760"/>
      <c r="D103" s="319" t="s">
        <v>473</v>
      </c>
      <c r="E103" s="474">
        <f>SUM(I103:M103)</f>
        <v>0</v>
      </c>
      <c r="F103" s="408" t="s">
        <v>265</v>
      </c>
      <c r="G103" s="407" t="s">
        <v>19</v>
      </c>
      <c r="H103" s="374" t="s">
        <v>42</v>
      </c>
      <c r="I103" s="721"/>
      <c r="J103" s="721"/>
      <c r="K103" s="721"/>
      <c r="L103" s="721"/>
      <c r="M103" s="721"/>
      <c r="N103" s="343" t="s">
        <v>724</v>
      </c>
      <c r="Q103">
        <f>IF(ISNA(VLOOKUP($V103,BN_Det!$C$17:$H$92,6,FALSE)),0,VLOOKUP($V103,BN_Det!$C$17:$H$92,6,FALSE))</f>
        <v>0</v>
      </c>
      <c r="R103">
        <f>IF(ISNA(VLOOKUP($V103,KLO_Det!$C$17:$H$93,6,FALSE)),0,VLOOKUP($V103,KLO_Det!$C$17:$H$93,6,FALSE))</f>
        <v>0</v>
      </c>
      <c r="S103">
        <f>IF(ISNA(VLOOKUP($V103,LLG_Det!$C$17:$H$91,6,FALSE)),0,VLOOKUP($V103,LLG_Det!$C$17:$H$91,6,FALSE))</f>
        <v>0</v>
      </c>
      <c r="T103">
        <f>IF(ISNA(VLOOKUP($V103,MSD_Det!$C$17:$H$91,6,FALSE)),0,VLOOKUP($V103,MSD_Det!$C$17:$H$91,6,FALSE))</f>
        <v>0</v>
      </c>
      <c r="U103">
        <f>IF(ISNA(VLOOKUP($V103,SLE_Det!$C$17:$H$93,6,FALSE)),0,VLOOKUP($V103,SLE_Det!$C$17:$H$93,6,FALSE))</f>
        <v>0</v>
      </c>
    </row>
    <row r="104" spans="2:23" x14ac:dyDescent="0.25">
      <c r="C104" s="760"/>
      <c r="D104" s="319" t="s">
        <v>474</v>
      </c>
      <c r="E104" s="474">
        <f>SUM(I104:M104)</f>
        <v>0</v>
      </c>
      <c r="F104" s="408" t="s">
        <v>265</v>
      </c>
      <c r="G104" s="407" t="s">
        <v>19</v>
      </c>
      <c r="H104" s="374" t="s">
        <v>42</v>
      </c>
      <c r="I104" s="721"/>
      <c r="J104" s="721"/>
      <c r="K104" s="721"/>
      <c r="L104" s="721"/>
      <c r="M104" s="721"/>
      <c r="N104" s="343" t="s">
        <v>724</v>
      </c>
      <c r="Q104">
        <f>IF(ISNA(VLOOKUP($V104,BN_Det!$C$17:$H$92,6,FALSE)),0,VLOOKUP($V104,BN_Det!$C$17:$H$92,6,FALSE))</f>
        <v>0</v>
      </c>
      <c r="R104">
        <f>IF(ISNA(VLOOKUP($V104,KLO_Det!$C$17:$H$93,6,FALSE)),0,VLOOKUP($V104,KLO_Det!$C$17:$H$93,6,FALSE))</f>
        <v>0</v>
      </c>
      <c r="S104">
        <f>IF(ISNA(VLOOKUP($V104,LLG_Det!$C$17:$H$91,6,FALSE)),0,VLOOKUP($V104,LLG_Det!$C$17:$H$91,6,FALSE))</f>
        <v>0</v>
      </c>
      <c r="T104">
        <f>IF(ISNA(VLOOKUP($V104,MSD_Det!$C$17:$H$91,6,FALSE)),0,VLOOKUP($V104,MSD_Det!$C$17:$H$91,6,FALSE))</f>
        <v>0</v>
      </c>
      <c r="U104">
        <f>IF(ISNA(VLOOKUP($V104,SLE_Det!$C$17:$H$93,6,FALSE)),0,VLOOKUP($V104,SLE_Det!$C$17:$H$93,6,FALSE))</f>
        <v>0</v>
      </c>
    </row>
    <row r="105" spans="2:23" x14ac:dyDescent="0.25">
      <c r="C105" s="760"/>
      <c r="D105" s="391" t="s">
        <v>632</v>
      </c>
      <c r="E105" s="474">
        <f>SUM(I105:M105)</f>
        <v>89.424413325146105</v>
      </c>
      <c r="F105" s="408" t="s">
        <v>265</v>
      </c>
      <c r="G105" s="407" t="s">
        <v>19</v>
      </c>
      <c r="H105" s="374" t="s">
        <v>44</v>
      </c>
      <c r="I105" s="474">
        <v>30.885851347412974</v>
      </c>
      <c r="J105" s="474">
        <v>9.7380492672560433</v>
      </c>
      <c r="K105" s="474">
        <v>6.2099623918519153</v>
      </c>
      <c r="L105" s="474">
        <v>33.533796916000327</v>
      </c>
      <c r="M105" s="474">
        <v>9.0567534026248566</v>
      </c>
      <c r="N105" s="642"/>
      <c r="Q105">
        <f>IF(ISNA(VLOOKUP($W105,BN_Det!$C$17:$H$92,6,FALSE)),0,VLOOKUP($W105,BN_Det!$C$17:$H$92,6,FALSE))</f>
        <v>2</v>
      </c>
      <c r="R105">
        <f>IF(ISNA(VLOOKUP($W105,KLO_Det!$C$17:$H$93,6,FALSE)),0,VLOOKUP($W105,KLO_Det!$C$17:$H$93,6,FALSE))</f>
        <v>3</v>
      </c>
      <c r="S105">
        <f>IF(ISNA(VLOOKUP($W105,LLG_Det!$C$17:$H$91,6,FALSE)),0,VLOOKUP($W105,LLG_Det!$C$17:$H$91,6,FALSE))</f>
        <v>1</v>
      </c>
      <c r="T105">
        <f>IF(ISNA(VLOOKUP($W105,MSD_Det!$C$17:$H$91,6,FALSE)),0,VLOOKUP($W105,MSD_Det!$C$17:$H$91,6,FALSE))</f>
        <v>0</v>
      </c>
      <c r="U105">
        <f>IF(ISNA(VLOOKUP($W105,SLE_Det!$C$17:$H$93,6,FALSE)),0,VLOOKUP($W105,SLE_Det!$C$17:$H$93,6,FALSE))</f>
        <v>1</v>
      </c>
      <c r="W105" t="s">
        <v>311</v>
      </c>
    </row>
    <row r="106" spans="2:23" x14ac:dyDescent="0.25">
      <c r="I106" s="11"/>
      <c r="J106" s="11"/>
      <c r="K106" s="11"/>
      <c r="L106" s="11"/>
      <c r="M106" s="11"/>
    </row>
    <row r="107" spans="2:23" ht="14.45" customHeight="1" x14ac:dyDescent="0.25">
      <c r="B107" s="25" t="s">
        <v>262</v>
      </c>
    </row>
    <row r="108" spans="2:23" ht="14.45" customHeight="1" x14ac:dyDescent="0.25">
      <c r="C108" s="348"/>
      <c r="D108" s="348"/>
      <c r="E108" s="350" t="s">
        <v>230</v>
      </c>
      <c r="F108" s="348"/>
      <c r="G108" s="355"/>
      <c r="H108" s="355"/>
      <c r="I108" s="348"/>
      <c r="J108" s="351"/>
      <c r="K108" s="759" t="s">
        <v>152</v>
      </c>
      <c r="L108" s="759" t="s">
        <v>153</v>
      </c>
      <c r="M108" s="356"/>
      <c r="N108" s="352"/>
    </row>
    <row r="109" spans="2:23" x14ac:dyDescent="0.25">
      <c r="C109" s="349" t="s">
        <v>231</v>
      </c>
      <c r="D109" s="349" t="s">
        <v>232</v>
      </c>
      <c r="E109" s="353" t="s">
        <v>235</v>
      </c>
      <c r="F109" s="349" t="s">
        <v>264</v>
      </c>
      <c r="G109" s="349" t="s">
        <v>373</v>
      </c>
      <c r="H109" s="349" t="s">
        <v>101</v>
      </c>
      <c r="I109" s="349" t="s">
        <v>151</v>
      </c>
      <c r="J109" s="353" t="s">
        <v>63</v>
      </c>
      <c r="K109" s="759"/>
      <c r="L109" s="759"/>
      <c r="M109" s="354" t="s">
        <v>77</v>
      </c>
      <c r="N109" s="367"/>
    </row>
    <row r="110" spans="2:23" x14ac:dyDescent="0.25">
      <c r="C110" s="760" t="s">
        <v>263</v>
      </c>
      <c r="D110" s="318" t="s">
        <v>388</v>
      </c>
      <c r="E110" s="791"/>
      <c r="F110" s="340" t="s">
        <v>265</v>
      </c>
      <c r="G110" s="18" t="s">
        <v>19</v>
      </c>
      <c r="H110" s="364" t="s">
        <v>44</v>
      </c>
      <c r="I110" s="788"/>
      <c r="J110" s="788"/>
      <c r="K110" s="788"/>
      <c r="L110" s="788"/>
      <c r="M110" s="788"/>
      <c r="N110" s="318"/>
    </row>
    <row r="111" spans="2:23" x14ac:dyDescent="0.25">
      <c r="C111" s="760"/>
      <c r="D111" s="370" t="s">
        <v>389</v>
      </c>
      <c r="E111" s="791"/>
      <c r="F111" s="340" t="s">
        <v>265</v>
      </c>
      <c r="G111" s="414" t="s">
        <v>22</v>
      </c>
      <c r="H111" s="364" t="s">
        <v>44</v>
      </c>
      <c r="I111" s="788"/>
      <c r="J111" s="788"/>
      <c r="K111" s="788"/>
      <c r="L111" s="788"/>
      <c r="M111" s="788"/>
      <c r="N111" s="318"/>
    </row>
    <row r="112" spans="2:23" x14ac:dyDescent="0.25">
      <c r="C112" s="760"/>
      <c r="D112" s="369" t="s">
        <v>390</v>
      </c>
      <c r="E112" s="791"/>
      <c r="F112" s="340" t="s">
        <v>265</v>
      </c>
      <c r="G112" s="18" t="s">
        <v>19</v>
      </c>
      <c r="H112" s="364" t="s">
        <v>44</v>
      </c>
      <c r="I112" s="788"/>
      <c r="J112" s="788"/>
      <c r="K112" s="788"/>
      <c r="L112" s="788"/>
      <c r="M112" s="788"/>
      <c r="N112" s="318"/>
    </row>
    <row r="113" spans="2:14" x14ac:dyDescent="0.25">
      <c r="E113" s="791"/>
      <c r="I113" s="791"/>
      <c r="J113" s="791"/>
      <c r="K113" s="791"/>
      <c r="L113" s="791"/>
      <c r="M113" s="791"/>
    </row>
    <row r="114" spans="2:14" x14ac:dyDescent="0.25">
      <c r="B114" s="25" t="s">
        <v>274</v>
      </c>
    </row>
    <row r="115" spans="2:14" ht="14.45" customHeight="1" x14ac:dyDescent="0.25">
      <c r="C115" s="348"/>
      <c r="D115" s="348"/>
      <c r="E115" s="350" t="s">
        <v>230</v>
      </c>
      <c r="F115" s="348"/>
      <c r="G115" s="355"/>
      <c r="H115" s="355"/>
      <c r="I115" s="348"/>
      <c r="J115" s="351"/>
      <c r="K115" s="759" t="s">
        <v>152</v>
      </c>
      <c r="L115" s="759" t="s">
        <v>153</v>
      </c>
      <c r="M115" s="356"/>
      <c r="N115" s="352"/>
    </row>
    <row r="116" spans="2:14" x14ac:dyDescent="0.25">
      <c r="C116" s="349" t="s">
        <v>231</v>
      </c>
      <c r="D116" s="349" t="s">
        <v>232</v>
      </c>
      <c r="E116" s="353" t="s">
        <v>235</v>
      </c>
      <c r="F116" s="349" t="s">
        <v>264</v>
      </c>
      <c r="G116" s="349" t="s">
        <v>373</v>
      </c>
      <c r="H116" s="349" t="s">
        <v>101</v>
      </c>
      <c r="I116" s="349" t="s">
        <v>151</v>
      </c>
      <c r="J116" s="353" t="s">
        <v>63</v>
      </c>
      <c r="K116" s="759"/>
      <c r="L116" s="759"/>
      <c r="M116" s="354" t="s">
        <v>77</v>
      </c>
      <c r="N116" s="367"/>
    </row>
    <row r="117" spans="2:14" ht="75" x14ac:dyDescent="0.25">
      <c r="C117" s="318" t="s">
        <v>266</v>
      </c>
      <c r="D117" s="391" t="s">
        <v>427</v>
      </c>
      <c r="E117" s="346">
        <f>SUM(I117:M117)</f>
        <v>15.866046511627905</v>
      </c>
      <c r="F117" s="340" t="s">
        <v>265</v>
      </c>
      <c r="G117" s="18" t="s">
        <v>24</v>
      </c>
      <c r="H117" s="364" t="s">
        <v>392</v>
      </c>
      <c r="I117" s="346">
        <v>15.866046511627905</v>
      </c>
      <c r="J117" s="346">
        <v>0</v>
      </c>
      <c r="K117" s="346">
        <v>0</v>
      </c>
      <c r="L117" s="346">
        <v>0</v>
      </c>
      <c r="M117" s="346">
        <v>0</v>
      </c>
      <c r="N117" s="318"/>
    </row>
    <row r="118" spans="2:14" ht="30" x14ac:dyDescent="0.25">
      <c r="C118" s="318" t="s">
        <v>267</v>
      </c>
      <c r="D118" s="391" t="s">
        <v>428</v>
      </c>
      <c r="E118" s="346">
        <f>SUM(I118:M118)</f>
        <v>1.8741767441860462</v>
      </c>
      <c r="F118" s="340" t="s">
        <v>265</v>
      </c>
      <c r="G118" s="18" t="s">
        <v>24</v>
      </c>
      <c r="H118" s="364" t="s">
        <v>392</v>
      </c>
      <c r="I118" s="346">
        <v>1.8741767441860462</v>
      </c>
      <c r="J118" s="346">
        <v>0</v>
      </c>
      <c r="K118" s="346">
        <v>0</v>
      </c>
      <c r="L118" s="346">
        <v>0</v>
      </c>
      <c r="M118" s="346">
        <v>0</v>
      </c>
      <c r="N118" s="318"/>
    </row>
    <row r="119" spans="2:14" ht="30" x14ac:dyDescent="0.25">
      <c r="C119" s="318" t="s">
        <v>268</v>
      </c>
      <c r="D119" s="391" t="s">
        <v>429</v>
      </c>
      <c r="E119" s="346">
        <f>SUM(I119:M119)</f>
        <v>1.0015441860465115</v>
      </c>
      <c r="F119" s="340" t="s">
        <v>265</v>
      </c>
      <c r="G119" s="18" t="s">
        <v>24</v>
      </c>
      <c r="H119" s="364" t="s">
        <v>392</v>
      </c>
      <c r="I119" s="346">
        <v>1.0015441860465115</v>
      </c>
      <c r="J119" s="346">
        <v>0</v>
      </c>
      <c r="K119" s="346">
        <v>0</v>
      </c>
      <c r="L119" s="346">
        <v>0</v>
      </c>
      <c r="M119" s="346">
        <v>0</v>
      </c>
      <c r="N119" s="318"/>
    </row>
    <row r="120" spans="2:14" x14ac:dyDescent="0.25">
      <c r="C120" s="318" t="s">
        <v>269</v>
      </c>
      <c r="D120" s="318" t="s">
        <v>430</v>
      </c>
      <c r="E120" s="346">
        <f>SUM(I120:M120)</f>
        <v>0.2340241860465116</v>
      </c>
      <c r="F120" s="340" t="s">
        <v>270</v>
      </c>
      <c r="G120" s="18" t="s">
        <v>24</v>
      </c>
      <c r="H120" s="364" t="s">
        <v>392</v>
      </c>
      <c r="I120" s="346">
        <v>0.2340241860465116</v>
      </c>
      <c r="J120" s="346">
        <v>0</v>
      </c>
      <c r="K120" s="346">
        <v>0</v>
      </c>
      <c r="L120" s="346">
        <v>0</v>
      </c>
      <c r="M120" s="346">
        <v>0</v>
      </c>
      <c r="N120" s="318"/>
    </row>
    <row r="122" spans="2:14" x14ac:dyDescent="0.25">
      <c r="F122" s="205"/>
    </row>
  </sheetData>
  <mergeCells count="22">
    <mergeCell ref="C110:C112"/>
    <mergeCell ref="C65:C66"/>
    <mergeCell ref="D65:D66"/>
    <mergeCell ref="E65:E66"/>
    <mergeCell ref="F65:F66"/>
    <mergeCell ref="C71:C77"/>
    <mergeCell ref="C102:C105"/>
    <mergeCell ref="C84:C87"/>
    <mergeCell ref="C82:C83"/>
    <mergeCell ref="K115:K116"/>
    <mergeCell ref="L115:L116"/>
    <mergeCell ref="K100:K101"/>
    <mergeCell ref="L100:L101"/>
    <mergeCell ref="K91:K92"/>
    <mergeCell ref="L91:L92"/>
    <mergeCell ref="M47:O47"/>
    <mergeCell ref="K63:K64"/>
    <mergeCell ref="L63:L64"/>
    <mergeCell ref="K108:K109"/>
    <mergeCell ref="L108:L109"/>
    <mergeCell ref="K80:K81"/>
    <mergeCell ref="L80:L8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Rpt_Cat!$F$3:$F$4</xm:f>
          </x14:formula1>
          <xm:sqref>F49:F59 F117:F120 F110:F112 F102:F105 F93:F96 F82:F88 F65:F77 F7:F44</xm:sqref>
        </x14:dataValidation>
        <x14:dataValidation type="list" allowBlank="1" showInputMessage="1" showErrorMessage="1">
          <x14:formula1>
            <xm:f>Rpt_Cat!$B$3:$B$8</xm:f>
          </x14:formula1>
          <xm:sqref>G102:G105 G49:G59 G65:G77 G82:G88 G93:G96 G117:G120 G110:G112 G7:G44</xm:sqref>
        </x14:dataValidation>
        <x14:dataValidation type="list" allowBlank="1" showInputMessage="1" showErrorMessage="1">
          <x14:formula1>
            <xm:f>Rpt_Cat!$D$3:$D$6</xm:f>
          </x14:formula1>
          <xm:sqref>H102:H105 H82:H88 H65:H77 H49:H59 H93:H96 H117:H120 H110:H112 H7:H44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S55"/>
  <sheetViews>
    <sheetView zoomScaleNormal="100" workbookViewId="0">
      <pane xSplit="2" topLeftCell="C1" activePane="topRight" state="frozen"/>
      <selection pane="topRight" activeCell="G13" sqref="G13"/>
    </sheetView>
  </sheetViews>
  <sheetFormatPr defaultRowHeight="15" outlineLevelRow="1" x14ac:dyDescent="0.25"/>
  <cols>
    <col min="1" max="1" width="5" customWidth="1"/>
    <col min="2" max="2" width="15.7109375" customWidth="1"/>
    <col min="3" max="3" width="10.28515625" customWidth="1"/>
    <col min="4" max="4" width="13" customWidth="1"/>
    <col min="5" max="5" width="13.140625" customWidth="1"/>
    <col min="6" max="6" width="10.7109375" customWidth="1"/>
    <col min="7" max="7" width="14.140625" bestFit="1" customWidth="1"/>
    <col min="8" max="8" width="13.5703125" bestFit="1" customWidth="1"/>
    <col min="9" max="9" width="14.42578125" bestFit="1" customWidth="1"/>
    <col min="10" max="10" width="12.140625" bestFit="1" customWidth="1"/>
    <col min="11" max="11" width="17" bestFit="1" customWidth="1"/>
    <col min="12" max="12" width="9.42578125" customWidth="1"/>
    <col min="13" max="13" width="10.28515625" bestFit="1" customWidth="1"/>
    <col min="15" max="15" width="12.85546875" customWidth="1"/>
    <col min="16" max="16" width="10.5703125" customWidth="1"/>
    <col min="17" max="17" width="10.140625" customWidth="1"/>
    <col min="18" max="18" width="4.42578125" customWidth="1"/>
  </cols>
  <sheetData>
    <row r="2" spans="2:19" x14ac:dyDescent="0.25">
      <c r="B2" s="22" t="s">
        <v>401</v>
      </c>
      <c r="F2" s="415" t="s">
        <v>433</v>
      </c>
    </row>
    <row r="3" spans="2:19" x14ac:dyDescent="0.25">
      <c r="B3" s="25"/>
    </row>
    <row r="4" spans="2:19" ht="27.75" customHeight="1" x14ac:dyDescent="0.25">
      <c r="B4" s="25" t="s">
        <v>17</v>
      </c>
      <c r="P4" s="770" t="s">
        <v>693</v>
      </c>
      <c r="Q4" s="770"/>
    </row>
    <row r="5" spans="2:19" ht="45" x14ac:dyDescent="0.25">
      <c r="C5" s="13" t="s">
        <v>404</v>
      </c>
      <c r="D5" s="13" t="s">
        <v>405</v>
      </c>
      <c r="E5" s="13" t="s">
        <v>413</v>
      </c>
      <c r="F5" s="13" t="s">
        <v>407</v>
      </c>
      <c r="G5" s="13" t="s">
        <v>408</v>
      </c>
      <c r="H5" s="13" t="s">
        <v>409</v>
      </c>
      <c r="I5" s="13" t="s">
        <v>412</v>
      </c>
      <c r="J5" s="13" t="s">
        <v>414</v>
      </c>
      <c r="K5" s="13" t="s">
        <v>410</v>
      </c>
      <c r="L5" s="13" t="s">
        <v>411</v>
      </c>
      <c r="M5" s="13" t="s">
        <v>415</v>
      </c>
      <c r="N5" s="13" t="s">
        <v>406</v>
      </c>
      <c r="O5" s="669" t="s">
        <v>697</v>
      </c>
      <c r="P5" s="669" t="s">
        <v>696</v>
      </c>
      <c r="Q5" s="669" t="s">
        <v>694</v>
      </c>
    </row>
    <row r="6" spans="2:19" hidden="1" outlineLevel="1" x14ac:dyDescent="0.25">
      <c r="C6" s="13"/>
      <c r="D6" s="13"/>
      <c r="E6" s="13">
        <v>1</v>
      </c>
      <c r="F6" s="13">
        <v>2</v>
      </c>
      <c r="G6" s="13">
        <v>3</v>
      </c>
      <c r="H6" s="13"/>
      <c r="I6" s="13"/>
      <c r="J6" s="13">
        <v>4</v>
      </c>
      <c r="K6" s="13"/>
      <c r="L6" s="13"/>
      <c r="M6" s="13">
        <v>5</v>
      </c>
      <c r="N6" s="13">
        <v>6</v>
      </c>
      <c r="O6" s="363">
        <v>7</v>
      </c>
      <c r="P6" s="669">
        <v>8</v>
      </c>
      <c r="Q6" s="669">
        <v>9</v>
      </c>
    </row>
    <row r="7" spans="2:19" collapsed="1" x14ac:dyDescent="0.25">
      <c r="B7" t="str">
        <f>STN_1</f>
        <v>BN</v>
      </c>
      <c r="C7" s="502">
        <v>5</v>
      </c>
      <c r="D7" s="502">
        <v>0</v>
      </c>
      <c r="E7" s="379">
        <f t="shared" ref="E7:E12" si="0">SUM(C7:D7)</f>
        <v>5</v>
      </c>
      <c r="F7" s="502">
        <v>18</v>
      </c>
      <c r="G7" s="502">
        <v>0</v>
      </c>
      <c r="H7" s="502">
        <v>57</v>
      </c>
      <c r="I7" s="502"/>
      <c r="J7" s="504">
        <f t="shared" ref="J7:J12" si="1">SUM(H7:I7)</f>
        <v>57</v>
      </c>
      <c r="K7" s="502">
        <v>17</v>
      </c>
      <c r="L7" s="502">
        <v>20</v>
      </c>
      <c r="M7" s="504">
        <f t="shared" ref="M7:M12" si="2">SUM(K7:L7)</f>
        <v>37</v>
      </c>
      <c r="N7" s="502">
        <v>33</v>
      </c>
      <c r="O7" s="502">
        <v>29</v>
      </c>
      <c r="P7" s="413">
        <v>27</v>
      </c>
      <c r="Q7" s="413">
        <v>2</v>
      </c>
      <c r="S7">
        <f t="shared" ref="S7:S12" si="3">E7+N7</f>
        <v>38</v>
      </c>
    </row>
    <row r="8" spans="2:19" x14ac:dyDescent="0.25">
      <c r="B8" t="str">
        <f>STN_2</f>
        <v>KLO</v>
      </c>
      <c r="C8" s="502">
        <v>3</v>
      </c>
      <c r="D8" s="502">
        <v>1</v>
      </c>
      <c r="E8" s="504">
        <f t="shared" si="0"/>
        <v>4</v>
      </c>
      <c r="F8" s="502">
        <v>0</v>
      </c>
      <c r="G8" s="502">
        <v>0</v>
      </c>
      <c r="H8" s="502">
        <v>24</v>
      </c>
      <c r="I8" s="502"/>
      <c r="J8" s="504">
        <f t="shared" si="1"/>
        <v>24</v>
      </c>
      <c r="K8" s="502">
        <v>1</v>
      </c>
      <c r="L8" s="502">
        <v>14</v>
      </c>
      <c r="M8" s="379">
        <f t="shared" si="2"/>
        <v>15</v>
      </c>
      <c r="N8" s="502">
        <v>7</v>
      </c>
      <c r="O8" s="502">
        <v>2</v>
      </c>
      <c r="P8" s="413">
        <v>9</v>
      </c>
      <c r="Q8" s="413"/>
      <c r="S8">
        <f t="shared" si="3"/>
        <v>11</v>
      </c>
    </row>
    <row r="9" spans="2:19" x14ac:dyDescent="0.25">
      <c r="B9" t="str">
        <f>STN_3</f>
        <v>LLG</v>
      </c>
      <c r="C9" s="502">
        <v>4</v>
      </c>
      <c r="D9" s="502">
        <v>1</v>
      </c>
      <c r="E9" s="379">
        <f t="shared" si="0"/>
        <v>5</v>
      </c>
      <c r="F9" s="502">
        <v>0</v>
      </c>
      <c r="G9" s="502">
        <v>1</v>
      </c>
      <c r="H9" s="502">
        <v>43</v>
      </c>
      <c r="I9" s="502"/>
      <c r="J9" s="504">
        <f t="shared" si="1"/>
        <v>43</v>
      </c>
      <c r="K9" s="502">
        <v>3</v>
      </c>
      <c r="L9" s="502">
        <v>11</v>
      </c>
      <c r="M9" s="379">
        <f t="shared" si="2"/>
        <v>14</v>
      </c>
      <c r="N9" s="502">
        <v>24</v>
      </c>
      <c r="O9" s="502">
        <v>13</v>
      </c>
      <c r="P9" s="502">
        <v>20</v>
      </c>
      <c r="Q9" s="413"/>
      <c r="S9">
        <f t="shared" si="3"/>
        <v>29</v>
      </c>
    </row>
    <row r="10" spans="2:19" x14ac:dyDescent="0.25">
      <c r="B10" t="str">
        <f>STN_4</f>
        <v>MSD</v>
      </c>
      <c r="C10" s="502">
        <v>3</v>
      </c>
      <c r="D10" s="502">
        <v>0</v>
      </c>
      <c r="E10" s="379">
        <f t="shared" si="0"/>
        <v>3</v>
      </c>
      <c r="F10" s="502">
        <v>0</v>
      </c>
      <c r="G10" s="502">
        <v>1</v>
      </c>
      <c r="H10" s="502">
        <v>33</v>
      </c>
      <c r="I10" s="413"/>
      <c r="J10" s="379">
        <f t="shared" si="1"/>
        <v>33</v>
      </c>
      <c r="K10" s="502">
        <v>3</v>
      </c>
      <c r="L10" s="502">
        <v>15</v>
      </c>
      <c r="M10" s="379">
        <f t="shared" si="2"/>
        <v>18</v>
      </c>
      <c r="N10" s="502">
        <v>12</v>
      </c>
      <c r="O10" s="502">
        <v>13</v>
      </c>
      <c r="P10" s="413">
        <v>12</v>
      </c>
      <c r="Q10" s="413">
        <v>1</v>
      </c>
      <c r="S10">
        <f t="shared" si="3"/>
        <v>15</v>
      </c>
    </row>
    <row r="11" spans="2:19" x14ac:dyDescent="0.25">
      <c r="B11" t="str">
        <f>STN_5</f>
        <v>SLE</v>
      </c>
      <c r="C11" s="502">
        <v>4</v>
      </c>
      <c r="D11" s="502">
        <v>1</v>
      </c>
      <c r="E11" s="379">
        <f t="shared" si="0"/>
        <v>5</v>
      </c>
      <c r="F11" s="502">
        <v>0</v>
      </c>
      <c r="G11" s="502">
        <v>1</v>
      </c>
      <c r="H11" s="502">
        <v>67</v>
      </c>
      <c r="I11" s="502"/>
      <c r="J11" s="504">
        <f t="shared" si="1"/>
        <v>67</v>
      </c>
      <c r="K11" s="502">
        <v>4</v>
      </c>
      <c r="L11" s="502">
        <v>21</v>
      </c>
      <c r="M11" s="379">
        <f t="shared" si="2"/>
        <v>25</v>
      </c>
      <c r="N11" s="502">
        <v>33</v>
      </c>
      <c r="O11" s="502">
        <v>15</v>
      </c>
      <c r="P11" s="413">
        <v>15</v>
      </c>
      <c r="Q11" s="413">
        <v>1</v>
      </c>
      <c r="S11">
        <f t="shared" si="3"/>
        <v>38</v>
      </c>
    </row>
    <row r="12" spans="2:19" x14ac:dyDescent="0.25">
      <c r="B12" t="str">
        <f>STN_9</f>
        <v>KLO2</v>
      </c>
      <c r="C12" s="413"/>
      <c r="D12" s="413"/>
      <c r="E12" s="379">
        <f t="shared" si="0"/>
        <v>0</v>
      </c>
      <c r="F12" s="413"/>
      <c r="G12" s="413"/>
      <c r="H12" s="413"/>
      <c r="I12" s="413"/>
      <c r="J12" s="379">
        <f t="shared" si="1"/>
        <v>0</v>
      </c>
      <c r="K12" s="413"/>
      <c r="L12" s="413"/>
      <c r="M12" s="379">
        <f t="shared" si="2"/>
        <v>0</v>
      </c>
      <c r="N12" s="413"/>
      <c r="O12" s="413"/>
      <c r="P12" s="413"/>
      <c r="Q12" s="413"/>
      <c r="S12">
        <f t="shared" si="3"/>
        <v>0</v>
      </c>
    </row>
    <row r="13" spans="2:19" x14ac:dyDescent="0.25">
      <c r="B13" t="s">
        <v>6</v>
      </c>
      <c r="C13" s="45">
        <f t="shared" ref="C13:Q13" si="4">SUM(C7:C12)</f>
        <v>19</v>
      </c>
      <c r="D13" s="45">
        <f t="shared" si="4"/>
        <v>3</v>
      </c>
      <c r="E13" s="380">
        <f t="shared" si="4"/>
        <v>22</v>
      </c>
      <c r="F13" s="45">
        <f t="shared" si="4"/>
        <v>18</v>
      </c>
      <c r="G13" s="45">
        <f t="shared" si="4"/>
        <v>3</v>
      </c>
      <c r="H13" s="45">
        <f t="shared" si="4"/>
        <v>224</v>
      </c>
      <c r="I13" s="45">
        <f t="shared" si="4"/>
        <v>0</v>
      </c>
      <c r="J13" s="380">
        <f t="shared" si="4"/>
        <v>224</v>
      </c>
      <c r="K13" s="45">
        <f t="shared" si="4"/>
        <v>28</v>
      </c>
      <c r="L13" s="45">
        <f t="shared" si="4"/>
        <v>81</v>
      </c>
      <c r="M13" s="380">
        <f t="shared" si="4"/>
        <v>109</v>
      </c>
      <c r="N13" s="45">
        <f>SUM(N7:N12)</f>
        <v>109</v>
      </c>
      <c r="O13" s="45">
        <f t="shared" si="4"/>
        <v>72</v>
      </c>
      <c r="P13" s="45">
        <f t="shared" si="4"/>
        <v>83</v>
      </c>
      <c r="Q13" s="45">
        <f t="shared" si="4"/>
        <v>4</v>
      </c>
      <c r="S13">
        <f>SUM(S7:S12)</f>
        <v>131</v>
      </c>
    </row>
    <row r="14" spans="2:19" x14ac:dyDescent="0.25">
      <c r="C14" s="161"/>
      <c r="D14" s="161"/>
      <c r="E14" s="224"/>
      <c r="F14" s="224"/>
      <c r="G14" s="224"/>
      <c r="H14" s="224"/>
      <c r="I14" s="224"/>
      <c r="J14" s="224"/>
      <c r="K14" s="224"/>
      <c r="L14" s="224"/>
      <c r="M14" s="224"/>
      <c r="N14" s="161"/>
      <c r="O14" s="161"/>
    </row>
    <row r="15" spans="2:19" x14ac:dyDescent="0.25">
      <c r="B15" s="25" t="s">
        <v>476</v>
      </c>
    </row>
    <row r="16" spans="2:19" x14ac:dyDescent="0.25">
      <c r="B16" s="25" t="s">
        <v>8</v>
      </c>
      <c r="G16" s="25" t="s">
        <v>493</v>
      </c>
      <c r="H16" t="s">
        <v>515</v>
      </c>
    </row>
    <row r="17" spans="2:14" x14ac:dyDescent="0.25">
      <c r="C17" s="4" t="s">
        <v>155</v>
      </c>
      <c r="D17" s="169" t="s">
        <v>15</v>
      </c>
      <c r="E17" s="46"/>
      <c r="H17" t="s">
        <v>489</v>
      </c>
      <c r="I17" t="s">
        <v>490</v>
      </c>
      <c r="J17" t="s">
        <v>491</v>
      </c>
      <c r="K17" t="s">
        <v>492</v>
      </c>
    </row>
    <row r="18" spans="2:14" x14ac:dyDescent="0.25">
      <c r="B18" t="str">
        <f>STN_1</f>
        <v>BN</v>
      </c>
      <c r="C18" s="502">
        <v>682</v>
      </c>
      <c r="D18" s="701">
        <v>1559</v>
      </c>
      <c r="E18" s="641"/>
      <c r="G18" t="str">
        <f>STN_1</f>
        <v>BN</v>
      </c>
      <c r="H18" s="502">
        <v>8</v>
      </c>
      <c r="I18" s="503">
        <v>8</v>
      </c>
      <c r="J18" s="503">
        <v>6</v>
      </c>
      <c r="K18" s="503">
        <v>2774</v>
      </c>
    </row>
    <row r="19" spans="2:14" x14ac:dyDescent="0.25">
      <c r="B19" t="str">
        <f>STN_2</f>
        <v>KLO</v>
      </c>
      <c r="C19" s="502">
        <v>80</v>
      </c>
      <c r="D19" s="701">
        <v>201</v>
      </c>
      <c r="E19" s="641"/>
      <c r="G19" t="str">
        <f>STN_2</f>
        <v>KLO</v>
      </c>
      <c r="H19" s="502">
        <v>6</v>
      </c>
      <c r="I19" s="503">
        <v>6</v>
      </c>
      <c r="J19" s="503">
        <v>4</v>
      </c>
      <c r="K19" s="503">
        <v>540</v>
      </c>
    </row>
    <row r="20" spans="2:14" x14ac:dyDescent="0.25">
      <c r="B20" t="str">
        <f>STN_3</f>
        <v>LLG</v>
      </c>
      <c r="C20" s="502">
        <v>214</v>
      </c>
      <c r="D20" s="701">
        <v>511</v>
      </c>
      <c r="E20" s="641"/>
      <c r="G20" t="str">
        <f>STN_3</f>
        <v>LLG</v>
      </c>
      <c r="H20" s="502">
        <v>4</v>
      </c>
      <c r="I20" s="503">
        <v>4</v>
      </c>
      <c r="J20" s="503">
        <v>4</v>
      </c>
      <c r="K20" s="503">
        <v>395</v>
      </c>
    </row>
    <row r="21" spans="2:14" x14ac:dyDescent="0.25">
      <c r="B21" t="str">
        <f>STN_4</f>
        <v>MSD</v>
      </c>
      <c r="C21" s="502">
        <v>429</v>
      </c>
      <c r="D21" s="701">
        <v>977</v>
      </c>
      <c r="E21" s="641"/>
      <c r="G21" t="str">
        <f>STN_4</f>
        <v>MSD</v>
      </c>
      <c r="H21" s="502">
        <v>5</v>
      </c>
      <c r="I21" s="503">
        <v>5</v>
      </c>
      <c r="J21" s="503">
        <v>6</v>
      </c>
      <c r="K21" s="503">
        <v>0</v>
      </c>
    </row>
    <row r="22" spans="2:14" x14ac:dyDescent="0.25">
      <c r="B22" t="str">
        <f>STN_5</f>
        <v>SLE</v>
      </c>
      <c r="C22" s="502">
        <v>529</v>
      </c>
      <c r="D22" s="701">
        <v>1281</v>
      </c>
      <c r="E22" s="641"/>
      <c r="G22" t="str">
        <f>STN_5</f>
        <v>SLE</v>
      </c>
      <c r="H22" s="502">
        <v>5</v>
      </c>
      <c r="I22" s="503">
        <v>5</v>
      </c>
      <c r="J22" s="503">
        <v>6</v>
      </c>
      <c r="K22" s="503">
        <v>3224</v>
      </c>
    </row>
    <row r="23" spans="2:14" x14ac:dyDescent="0.25">
      <c r="B23" t="str">
        <f>STN_9</f>
        <v>KLO2</v>
      </c>
      <c r="C23" s="413"/>
      <c r="D23" s="701"/>
      <c r="E23" s="641"/>
      <c r="G23" t="str">
        <f>STN_9</f>
        <v>KLO2</v>
      </c>
      <c r="H23" s="413"/>
      <c r="I23" s="413"/>
      <c r="J23" s="413"/>
      <c r="K23" s="413"/>
    </row>
    <row r="24" spans="2:14" x14ac:dyDescent="0.25">
      <c r="B24" t="s">
        <v>6</v>
      </c>
      <c r="C24" s="45">
        <f>SUM(C18:C23)</f>
        <v>1934</v>
      </c>
      <c r="D24" s="702">
        <f>SUM(D18:D23)</f>
        <v>4529</v>
      </c>
      <c r="E24" s="641"/>
      <c r="G24" t="s">
        <v>6</v>
      </c>
      <c r="H24" s="45">
        <f>SUM(H18:H23)</f>
        <v>28</v>
      </c>
      <c r="I24" s="45">
        <f>SUM(I18:I23)</f>
        <v>28</v>
      </c>
      <c r="J24" s="45">
        <f>SUM(J18:J23)</f>
        <v>26</v>
      </c>
      <c r="K24" s="45">
        <f>SUM(K18:K23)</f>
        <v>6933</v>
      </c>
    </row>
    <row r="25" spans="2:14" x14ac:dyDescent="0.25">
      <c r="B25" t="s">
        <v>156</v>
      </c>
      <c r="C25" s="161"/>
      <c r="D25" s="11">
        <f>D24/C24</f>
        <v>2.3417786970010339</v>
      </c>
      <c r="N25" s="114"/>
    </row>
    <row r="26" spans="2:14" x14ac:dyDescent="0.25">
      <c r="C26" s="161"/>
      <c r="D26" s="11"/>
      <c r="J26" s="720"/>
      <c r="K26" s="46"/>
      <c r="L26" s="46"/>
    </row>
    <row r="27" spans="2:14" x14ac:dyDescent="0.25">
      <c r="B27" s="25" t="s">
        <v>46</v>
      </c>
      <c r="J27" s="720"/>
      <c r="K27" s="46"/>
      <c r="L27" s="46"/>
    </row>
    <row r="28" spans="2:14" ht="45" x14ac:dyDescent="0.25">
      <c r="C28" s="13" t="s">
        <v>399</v>
      </c>
      <c r="D28" s="13" t="s">
        <v>400</v>
      </c>
      <c r="E28" s="13" t="s">
        <v>402</v>
      </c>
      <c r="F28" s="13" t="s">
        <v>403</v>
      </c>
      <c r="G28" s="13"/>
    </row>
    <row r="29" spans="2:14" x14ac:dyDescent="0.25">
      <c r="B29" t="str">
        <f>STN_1</f>
        <v>BN</v>
      </c>
      <c r="C29" s="502">
        <v>5</v>
      </c>
      <c r="D29" s="502">
        <v>9</v>
      </c>
      <c r="E29" s="413"/>
      <c r="F29" s="413"/>
      <c r="G29" s="224"/>
    </row>
    <row r="30" spans="2:14" x14ac:dyDescent="0.25">
      <c r="B30" t="str">
        <f>STN_2</f>
        <v>KLO</v>
      </c>
      <c r="C30" s="502">
        <v>3</v>
      </c>
      <c r="D30" s="502">
        <v>1</v>
      </c>
      <c r="E30" s="413"/>
      <c r="F30" s="413"/>
      <c r="G30" s="224"/>
    </row>
    <row r="31" spans="2:14" x14ac:dyDescent="0.25">
      <c r="B31" t="str">
        <f>STN_3</f>
        <v>LLG</v>
      </c>
      <c r="C31" s="502">
        <v>1</v>
      </c>
      <c r="D31" s="502">
        <v>5</v>
      </c>
      <c r="E31" s="413"/>
      <c r="F31" s="413"/>
      <c r="G31" s="224"/>
    </row>
    <row r="32" spans="2:14" x14ac:dyDescent="0.25">
      <c r="B32" t="str">
        <f>STN_4</f>
        <v>MSD</v>
      </c>
      <c r="C32" s="502">
        <v>1</v>
      </c>
      <c r="D32" s="502">
        <v>4</v>
      </c>
      <c r="E32" s="413"/>
      <c r="F32" s="413"/>
      <c r="G32" s="224"/>
    </row>
    <row r="33" spans="2:10" x14ac:dyDescent="0.25">
      <c r="B33" t="str">
        <f>STN_5</f>
        <v>SLE</v>
      </c>
      <c r="C33" s="502">
        <v>5</v>
      </c>
      <c r="D33" s="502">
        <v>6</v>
      </c>
      <c r="E33" s="413"/>
      <c r="F33" s="413">
        <v>1</v>
      </c>
      <c r="G33" s="224"/>
    </row>
    <row r="34" spans="2:10" x14ac:dyDescent="0.25">
      <c r="B34" t="str">
        <f>STN_9</f>
        <v>KLO2</v>
      </c>
      <c r="C34" s="413"/>
      <c r="D34" s="413"/>
      <c r="E34" s="413"/>
      <c r="F34" s="413"/>
      <c r="G34" s="224"/>
    </row>
    <row r="35" spans="2:10" x14ac:dyDescent="0.25">
      <c r="B35" t="s">
        <v>6</v>
      </c>
      <c r="C35" s="45">
        <f>SUM(C29:C34)</f>
        <v>15</v>
      </c>
      <c r="D35" s="45">
        <f>SUM(D29:D34)</f>
        <v>25</v>
      </c>
      <c r="E35" s="45">
        <f>SUM(E29:E34)</f>
        <v>0</v>
      </c>
      <c r="F35" s="45">
        <f>SUM(F29:F34)</f>
        <v>1</v>
      </c>
      <c r="G35" s="224"/>
    </row>
    <row r="36" spans="2:10" x14ac:dyDescent="0.25">
      <c r="I36" s="25" t="s">
        <v>625</v>
      </c>
    </row>
    <row r="37" spans="2:10" x14ac:dyDescent="0.25">
      <c r="B37" s="25" t="s">
        <v>462</v>
      </c>
      <c r="I37" s="25" t="s">
        <v>311</v>
      </c>
    </row>
    <row r="38" spans="2:10" x14ac:dyDescent="0.25">
      <c r="B38" s="130"/>
      <c r="C38" s="13" t="s">
        <v>527</v>
      </c>
      <c r="D38" s="409" t="s">
        <v>463</v>
      </c>
      <c r="E38" s="409" t="s">
        <v>464</v>
      </c>
      <c r="F38" s="409" t="s">
        <v>465</v>
      </c>
      <c r="G38" s="444" t="s">
        <v>6</v>
      </c>
      <c r="I38" s="471"/>
    </row>
    <row r="39" spans="2:10" x14ac:dyDescent="0.25">
      <c r="B39" t="str">
        <f>STN_1</f>
        <v>BN</v>
      </c>
      <c r="C39" s="726"/>
      <c r="D39" s="726"/>
      <c r="E39" s="726"/>
      <c r="F39" s="727"/>
      <c r="G39" s="161">
        <f t="shared" ref="G39:G44" si="5">SUM(C39:F39)</f>
        <v>0</v>
      </c>
      <c r="I39" s="502">
        <v>2</v>
      </c>
    </row>
    <row r="40" spans="2:10" x14ac:dyDescent="0.25">
      <c r="B40" t="str">
        <f>STN_2</f>
        <v>KLO</v>
      </c>
      <c r="C40" s="726"/>
      <c r="D40" s="726"/>
      <c r="E40" s="726"/>
      <c r="F40" s="727"/>
      <c r="G40" s="161">
        <f t="shared" si="5"/>
        <v>0</v>
      </c>
      <c r="I40" s="502">
        <v>3</v>
      </c>
    </row>
    <row r="41" spans="2:10" x14ac:dyDescent="0.25">
      <c r="B41" t="str">
        <f>STN_3</f>
        <v>LLG</v>
      </c>
      <c r="C41" s="726"/>
      <c r="D41" s="726"/>
      <c r="E41" s="726"/>
      <c r="F41" s="727"/>
      <c r="G41" s="161">
        <f t="shared" si="5"/>
        <v>0</v>
      </c>
      <c r="I41" s="502">
        <v>1</v>
      </c>
      <c r="J41" s="48"/>
    </row>
    <row r="42" spans="2:10" x14ac:dyDescent="0.25">
      <c r="B42" t="str">
        <f>STN_4</f>
        <v>MSD</v>
      </c>
      <c r="C42" s="726"/>
      <c r="D42" s="726"/>
      <c r="E42" s="726"/>
      <c r="F42" s="727"/>
      <c r="G42" s="161">
        <f t="shared" si="5"/>
        <v>0</v>
      </c>
      <c r="I42" s="502"/>
    </row>
    <row r="43" spans="2:10" x14ac:dyDescent="0.25">
      <c r="B43" t="str">
        <f>STN_5</f>
        <v>SLE</v>
      </c>
      <c r="C43" s="726"/>
      <c r="D43" s="726"/>
      <c r="E43" s="726"/>
      <c r="F43" s="727"/>
      <c r="G43" s="161">
        <f t="shared" si="5"/>
        <v>0</v>
      </c>
      <c r="I43" s="502">
        <v>1</v>
      </c>
    </row>
    <row r="44" spans="2:10" x14ac:dyDescent="0.25">
      <c r="B44" t="str">
        <f>STN_9</f>
        <v>KLO2</v>
      </c>
      <c r="C44" s="727"/>
      <c r="D44" s="727"/>
      <c r="E44" s="727"/>
      <c r="F44" s="727"/>
      <c r="G44" s="161">
        <f t="shared" si="5"/>
        <v>0</v>
      </c>
      <c r="I44" s="502"/>
    </row>
    <row r="45" spans="2:10" x14ac:dyDescent="0.25">
      <c r="B45" t="s">
        <v>6</v>
      </c>
      <c r="C45" s="45">
        <f>SUM(C39:C44)</f>
        <v>0</v>
      </c>
      <c r="D45" s="45">
        <f>SUM(D39:D44)</f>
        <v>0</v>
      </c>
      <c r="E45" s="45">
        <f>SUM(E39:E44)</f>
        <v>0</v>
      </c>
      <c r="F45" s="45">
        <f>SUM(F39:F44)</f>
        <v>0</v>
      </c>
      <c r="G45" s="45">
        <f>SUM(G39:G44)</f>
        <v>0</v>
      </c>
      <c r="I45" s="45">
        <f>SUM(I39:I44)</f>
        <v>7</v>
      </c>
    </row>
    <row r="47" spans="2:10" x14ac:dyDescent="0.25">
      <c r="B47" s="25" t="s">
        <v>608</v>
      </c>
    </row>
    <row r="49" spans="2:3" x14ac:dyDescent="0.25">
      <c r="B49" t="str">
        <f>STN_1</f>
        <v>BN</v>
      </c>
      <c r="C49" s="413"/>
    </row>
    <row r="50" spans="2:3" x14ac:dyDescent="0.25">
      <c r="B50" t="str">
        <f>STN_2</f>
        <v>KLO</v>
      </c>
      <c r="C50" s="413"/>
    </row>
    <row r="51" spans="2:3" x14ac:dyDescent="0.25">
      <c r="B51" t="str">
        <f>STN_3</f>
        <v>LLG</v>
      </c>
      <c r="C51" s="413"/>
    </row>
    <row r="52" spans="2:3" x14ac:dyDescent="0.25">
      <c r="B52" t="str">
        <f>STN_4</f>
        <v>MSD</v>
      </c>
      <c r="C52" s="413"/>
    </row>
    <row r="53" spans="2:3" x14ac:dyDescent="0.25">
      <c r="B53" t="str">
        <f>STN_5</f>
        <v>SLE</v>
      </c>
      <c r="C53" s="413"/>
    </row>
    <row r="54" spans="2:3" x14ac:dyDescent="0.25">
      <c r="B54" t="str">
        <f>STN_9</f>
        <v>KLO2</v>
      </c>
      <c r="C54" s="413"/>
    </row>
    <row r="55" spans="2:3" x14ac:dyDescent="0.25">
      <c r="C55" s="45">
        <f>SUM(C49:C54)</f>
        <v>0</v>
      </c>
    </row>
  </sheetData>
  <mergeCells count="1">
    <mergeCell ref="P4:Q4"/>
  </mergeCells>
  <pageMargins left="0.7" right="0.7" top="0.75" bottom="0.75" header="0.3" footer="0.3"/>
  <pageSetup paperSize="9" orientation="portrait" r:id="rId1"/>
  <ignoredErrors>
    <ignoredError sqref="F13:M13 O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M69"/>
  <sheetViews>
    <sheetView zoomScaleNormal="100" workbookViewId="0">
      <pane ySplit="2" topLeftCell="A3" activePane="bottomLeft" state="frozen"/>
      <selection activeCell="I5" sqref="I5"/>
      <selection pane="bottomLeft" activeCell="C74" sqref="C74"/>
    </sheetView>
  </sheetViews>
  <sheetFormatPr defaultRowHeight="15" x14ac:dyDescent="0.25"/>
  <cols>
    <col min="1" max="1" width="4.85546875" customWidth="1"/>
    <col min="2" max="2" width="30.5703125" customWidth="1"/>
    <col min="3" max="5" width="13.28515625" customWidth="1"/>
    <col min="6" max="6" width="9.140625" customWidth="1"/>
  </cols>
  <sheetData>
    <row r="1" spans="2:5" x14ac:dyDescent="0.25">
      <c r="B1" s="25" t="s">
        <v>650</v>
      </c>
    </row>
    <row r="2" spans="2:5" ht="30" x14ac:dyDescent="0.25">
      <c r="C2" s="434" t="s">
        <v>7</v>
      </c>
      <c r="D2" s="433" t="s">
        <v>12</v>
      </c>
      <c r="E2" s="434" t="s">
        <v>470</v>
      </c>
    </row>
    <row r="3" spans="2:5" x14ac:dyDescent="0.25">
      <c r="B3" s="25" t="s">
        <v>277</v>
      </c>
      <c r="C3" s="434"/>
      <c r="D3" s="433"/>
      <c r="E3" s="434"/>
    </row>
    <row r="4" spans="2:5" x14ac:dyDescent="0.25">
      <c r="B4" s="164" t="str">
        <f>STN_1</f>
        <v>BN</v>
      </c>
      <c r="C4" s="719">
        <v>43692</v>
      </c>
      <c r="D4" s="719">
        <v>44105</v>
      </c>
      <c r="E4" s="719">
        <v>44715</v>
      </c>
    </row>
    <row r="5" spans="2:5" x14ac:dyDescent="0.25">
      <c r="B5" s="164" t="str">
        <f>STN_2</f>
        <v>KLO</v>
      </c>
      <c r="C5" s="719">
        <v>43692</v>
      </c>
      <c r="D5" s="719">
        <v>44197</v>
      </c>
      <c r="E5" s="719">
        <v>44896</v>
      </c>
    </row>
    <row r="6" spans="2:5" x14ac:dyDescent="0.25">
      <c r="B6" s="73" t="str">
        <f>STN_3</f>
        <v>LLG</v>
      </c>
      <c r="C6" s="719">
        <v>43692</v>
      </c>
      <c r="D6" s="719">
        <v>44136</v>
      </c>
      <c r="E6" s="719">
        <v>44621</v>
      </c>
    </row>
    <row r="7" spans="2:5" x14ac:dyDescent="0.25">
      <c r="B7" s="73" t="str">
        <f>STN_4</f>
        <v>MSD</v>
      </c>
      <c r="C7" s="719">
        <v>43575</v>
      </c>
      <c r="D7" s="719">
        <v>43709</v>
      </c>
      <c r="E7" s="719">
        <v>43891</v>
      </c>
    </row>
    <row r="8" spans="2:5" x14ac:dyDescent="0.25">
      <c r="B8" s="73" t="str">
        <f>STN_5</f>
        <v>SLE</v>
      </c>
      <c r="C8" s="719">
        <v>43692</v>
      </c>
      <c r="D8" s="719">
        <v>44166</v>
      </c>
      <c r="E8" s="719">
        <v>44652</v>
      </c>
    </row>
    <row r="9" spans="2:5" x14ac:dyDescent="0.25">
      <c r="B9" s="164" t="str">
        <f>STN_9</f>
        <v>KLO2</v>
      </c>
      <c r="C9" s="719">
        <v>43862</v>
      </c>
      <c r="D9" s="719">
        <v>44197</v>
      </c>
      <c r="E9" s="719">
        <v>44896</v>
      </c>
    </row>
    <row r="10" spans="2:5" x14ac:dyDescent="0.25">
      <c r="C10" s="471"/>
      <c r="D10" s="471"/>
      <c r="E10" s="471"/>
    </row>
    <row r="11" spans="2:5" x14ac:dyDescent="0.25">
      <c r="B11" s="25" t="s">
        <v>17</v>
      </c>
      <c r="C11" s="471"/>
      <c r="D11" s="471"/>
      <c r="E11" s="471"/>
    </row>
    <row r="12" spans="2:5" x14ac:dyDescent="0.25">
      <c r="B12" s="164" t="str">
        <f>STN_1</f>
        <v>BN</v>
      </c>
      <c r="C12" s="719">
        <v>43692</v>
      </c>
      <c r="D12" s="719">
        <v>44105</v>
      </c>
      <c r="E12" s="719">
        <v>44715</v>
      </c>
    </row>
    <row r="13" spans="2:5" x14ac:dyDescent="0.25">
      <c r="B13" s="164" t="str">
        <f>STN_2</f>
        <v>KLO</v>
      </c>
      <c r="C13" s="719">
        <v>43692</v>
      </c>
      <c r="D13" s="719">
        <v>44197</v>
      </c>
      <c r="E13" s="719">
        <v>44896</v>
      </c>
    </row>
    <row r="14" spans="2:5" x14ac:dyDescent="0.25">
      <c r="B14" s="164" t="str">
        <f>STN_3</f>
        <v>LLG</v>
      </c>
      <c r="C14" s="719">
        <v>43692</v>
      </c>
      <c r="D14" s="719">
        <v>44136</v>
      </c>
      <c r="E14" s="719">
        <v>44621</v>
      </c>
    </row>
    <row r="15" spans="2:5" x14ac:dyDescent="0.25">
      <c r="B15" s="73" t="str">
        <f>STN_4</f>
        <v>MSD</v>
      </c>
      <c r="C15" s="719">
        <v>43595</v>
      </c>
      <c r="D15" s="719">
        <v>43709</v>
      </c>
      <c r="E15" s="719">
        <v>43900</v>
      </c>
    </row>
    <row r="16" spans="2:5" x14ac:dyDescent="0.25">
      <c r="B16" s="164" t="str">
        <f>STN_5</f>
        <v>SLE</v>
      </c>
      <c r="C16" s="719">
        <v>43692</v>
      </c>
      <c r="D16" s="719">
        <v>44166</v>
      </c>
      <c r="E16" s="719">
        <v>44652</v>
      </c>
    </row>
    <row r="17" spans="2:13" x14ac:dyDescent="0.25">
      <c r="B17" s="164" t="str">
        <f>STN_9</f>
        <v>KLO2</v>
      </c>
      <c r="C17" s="719"/>
      <c r="D17" s="719"/>
      <c r="E17" s="719"/>
    </row>
    <row r="18" spans="2:13" x14ac:dyDescent="0.25">
      <c r="C18" s="471"/>
      <c r="D18" s="471"/>
      <c r="E18" s="471"/>
    </row>
    <row r="19" spans="2:13" x14ac:dyDescent="0.25">
      <c r="B19" s="25" t="s">
        <v>135</v>
      </c>
      <c r="C19" s="471"/>
      <c r="D19" s="471"/>
      <c r="E19" s="471"/>
    </row>
    <row r="20" spans="2:13" x14ac:dyDescent="0.25">
      <c r="B20" s="164" t="str">
        <f>STN_1</f>
        <v>BN</v>
      </c>
      <c r="C20" s="719">
        <v>43692</v>
      </c>
      <c r="D20" s="719">
        <v>44105</v>
      </c>
      <c r="E20" s="719">
        <v>44715</v>
      </c>
    </row>
    <row r="21" spans="2:13" x14ac:dyDescent="0.25">
      <c r="B21" s="164" t="str">
        <f>STN_2</f>
        <v>KLO</v>
      </c>
      <c r="C21" s="719">
        <v>43692</v>
      </c>
      <c r="D21" s="719">
        <v>44197</v>
      </c>
      <c r="E21" s="719">
        <v>44896</v>
      </c>
    </row>
    <row r="22" spans="2:13" x14ac:dyDescent="0.25">
      <c r="B22" s="164" t="str">
        <f>STN_3</f>
        <v>LLG</v>
      </c>
      <c r="C22" s="719">
        <v>43692</v>
      </c>
      <c r="D22" s="719">
        <v>44136</v>
      </c>
      <c r="E22" s="719">
        <v>44621</v>
      </c>
    </row>
    <row r="23" spans="2:13" x14ac:dyDescent="0.25">
      <c r="B23" s="73" t="str">
        <f>STN_4</f>
        <v>MSD</v>
      </c>
      <c r="C23" s="719">
        <v>43313</v>
      </c>
      <c r="D23" s="719">
        <v>43647</v>
      </c>
      <c r="E23" s="719">
        <v>43800</v>
      </c>
      <c r="M23" s="637"/>
    </row>
    <row r="24" spans="2:13" x14ac:dyDescent="0.25">
      <c r="B24" s="164" t="str">
        <f>STN_5</f>
        <v>SLE</v>
      </c>
      <c r="C24" s="719">
        <v>43692</v>
      </c>
      <c r="D24" s="719">
        <v>44166</v>
      </c>
      <c r="E24" s="719">
        <v>44652</v>
      </c>
      <c r="M24" s="637"/>
    </row>
    <row r="25" spans="2:13" x14ac:dyDescent="0.25">
      <c r="B25" s="164" t="str">
        <f>STN_9</f>
        <v>KLO2</v>
      </c>
      <c r="C25" s="719"/>
      <c r="D25" s="719"/>
      <c r="E25" s="719"/>
      <c r="M25" s="637"/>
    </row>
    <row r="26" spans="2:13" x14ac:dyDescent="0.25">
      <c r="C26" s="471"/>
      <c r="D26" s="471"/>
      <c r="E26" s="471"/>
      <c r="M26" s="637"/>
    </row>
    <row r="27" spans="2:13" x14ac:dyDescent="0.25">
      <c r="B27" s="25" t="s">
        <v>475</v>
      </c>
      <c r="C27" s="471"/>
      <c r="D27" s="471"/>
      <c r="E27" s="471"/>
      <c r="M27" s="637"/>
    </row>
    <row r="28" spans="2:13" x14ac:dyDescent="0.25">
      <c r="B28" s="164" t="str">
        <f>STN_1</f>
        <v>BN</v>
      </c>
      <c r="C28" s="719">
        <v>43692</v>
      </c>
      <c r="D28" s="719">
        <v>44105</v>
      </c>
      <c r="E28" s="719">
        <v>44715</v>
      </c>
    </row>
    <row r="29" spans="2:13" x14ac:dyDescent="0.25">
      <c r="B29" s="164" t="str">
        <f>STN_2</f>
        <v>KLO</v>
      </c>
      <c r="C29" s="719">
        <v>43692</v>
      </c>
      <c r="D29" s="719">
        <v>44197</v>
      </c>
      <c r="E29" s="719">
        <v>44896</v>
      </c>
    </row>
    <row r="30" spans="2:13" x14ac:dyDescent="0.25">
      <c r="B30" s="164" t="str">
        <f>STN_3</f>
        <v>LLG</v>
      </c>
      <c r="C30" s="719">
        <v>43692</v>
      </c>
      <c r="D30" s="719">
        <v>44136</v>
      </c>
      <c r="E30" s="719">
        <v>44621</v>
      </c>
    </row>
    <row r="31" spans="2:13" x14ac:dyDescent="0.25">
      <c r="B31" s="164" t="str">
        <f>STN_4</f>
        <v>MSD</v>
      </c>
      <c r="C31" s="719">
        <v>43238</v>
      </c>
      <c r="D31" s="719">
        <v>43525</v>
      </c>
      <c r="E31" s="719">
        <v>44061</v>
      </c>
    </row>
    <row r="32" spans="2:13" x14ac:dyDescent="0.25">
      <c r="B32" s="164" t="str">
        <f>STN_5</f>
        <v>SLE</v>
      </c>
      <c r="C32" s="719">
        <v>43692</v>
      </c>
      <c r="D32" s="719">
        <v>44166</v>
      </c>
      <c r="E32" s="719">
        <v>44652</v>
      </c>
    </row>
    <row r="33" spans="2:5" x14ac:dyDescent="0.25">
      <c r="B33" s="164" t="str">
        <f>STN_9</f>
        <v>KLO2</v>
      </c>
      <c r="C33" s="719"/>
      <c r="D33" s="719"/>
      <c r="E33" s="719"/>
    </row>
    <row r="34" spans="2:5" x14ac:dyDescent="0.25">
      <c r="C34" s="471"/>
      <c r="D34" s="471"/>
      <c r="E34" s="471"/>
    </row>
    <row r="35" spans="2:5" x14ac:dyDescent="0.25">
      <c r="B35" s="25" t="s">
        <v>134</v>
      </c>
      <c r="C35" s="471"/>
      <c r="D35" s="471"/>
      <c r="E35" s="471"/>
    </row>
    <row r="36" spans="2:5" x14ac:dyDescent="0.25">
      <c r="B36" s="164" t="str">
        <f>STN_1</f>
        <v>BN</v>
      </c>
      <c r="C36" s="719">
        <v>43692</v>
      </c>
      <c r="D36" s="719">
        <v>44105</v>
      </c>
      <c r="E36" s="719">
        <v>44715</v>
      </c>
    </row>
    <row r="37" spans="2:5" x14ac:dyDescent="0.25">
      <c r="B37" s="164" t="str">
        <f>STN_2</f>
        <v>KLO</v>
      </c>
      <c r="C37" s="719">
        <v>43692</v>
      </c>
      <c r="D37" s="719">
        <v>44197</v>
      </c>
      <c r="E37" s="719">
        <v>44896</v>
      </c>
    </row>
    <row r="38" spans="2:5" x14ac:dyDescent="0.25">
      <c r="B38" s="164" t="str">
        <f>STN_3</f>
        <v>LLG</v>
      </c>
      <c r="C38" s="719">
        <v>43692</v>
      </c>
      <c r="D38" s="719">
        <v>44136</v>
      </c>
      <c r="E38" s="719">
        <v>44621</v>
      </c>
    </row>
    <row r="39" spans="2:5" x14ac:dyDescent="0.25">
      <c r="B39" s="73" t="str">
        <f>STN_4</f>
        <v>MSD</v>
      </c>
      <c r="C39" s="719">
        <v>43595</v>
      </c>
      <c r="D39" s="719">
        <v>43709</v>
      </c>
      <c r="E39" s="719">
        <v>43891</v>
      </c>
    </row>
    <row r="40" spans="2:5" x14ac:dyDescent="0.25">
      <c r="B40" s="164" t="str">
        <f>STN_5</f>
        <v>SLE</v>
      </c>
      <c r="C40" s="719">
        <v>43692</v>
      </c>
      <c r="D40" s="719">
        <v>44166</v>
      </c>
      <c r="E40" s="719">
        <v>44652</v>
      </c>
    </row>
    <row r="41" spans="2:5" x14ac:dyDescent="0.25">
      <c r="B41" s="164" t="str">
        <f>STN_9</f>
        <v>KLO2</v>
      </c>
      <c r="C41" s="719"/>
      <c r="D41" s="719"/>
      <c r="E41" s="719"/>
    </row>
    <row r="42" spans="2:5" x14ac:dyDescent="0.25">
      <c r="C42" s="471"/>
      <c r="D42" s="471"/>
      <c r="E42" s="471"/>
    </row>
    <row r="43" spans="2:5" x14ac:dyDescent="0.25">
      <c r="B43" s="25" t="s">
        <v>9</v>
      </c>
      <c r="C43" s="471"/>
      <c r="D43" s="471"/>
      <c r="E43" s="471"/>
    </row>
    <row r="44" spans="2:5" x14ac:dyDescent="0.25">
      <c r="B44" s="164" t="str">
        <f>STN_1</f>
        <v>BN</v>
      </c>
      <c r="C44" s="719">
        <v>43692</v>
      </c>
      <c r="D44" s="719">
        <v>44105</v>
      </c>
      <c r="E44" s="719">
        <v>44715</v>
      </c>
    </row>
    <row r="45" spans="2:5" x14ac:dyDescent="0.25">
      <c r="B45" s="164" t="str">
        <f>STN_2</f>
        <v>KLO</v>
      </c>
      <c r="C45" s="719">
        <v>43692</v>
      </c>
      <c r="D45" s="719">
        <v>44197</v>
      </c>
      <c r="E45" s="719">
        <v>44896</v>
      </c>
    </row>
    <row r="46" spans="2:5" x14ac:dyDescent="0.25">
      <c r="B46" s="164" t="str">
        <f>STN_3</f>
        <v>LLG</v>
      </c>
      <c r="C46" s="719">
        <v>43692</v>
      </c>
      <c r="D46" s="719">
        <v>44136</v>
      </c>
      <c r="E46" s="719">
        <v>44621</v>
      </c>
    </row>
    <row r="47" spans="2:5" x14ac:dyDescent="0.25">
      <c r="B47" s="73" t="str">
        <f>STN_4</f>
        <v>MSD</v>
      </c>
      <c r="C47" s="719">
        <v>43595</v>
      </c>
      <c r="D47" s="719">
        <v>43709</v>
      </c>
      <c r="E47" s="719">
        <v>43891</v>
      </c>
    </row>
    <row r="48" spans="2:5" x14ac:dyDescent="0.25">
      <c r="B48" s="164" t="str">
        <f>STN_5</f>
        <v>SLE</v>
      </c>
      <c r="C48" s="719">
        <v>43692</v>
      </c>
      <c r="D48" s="719">
        <v>44166</v>
      </c>
      <c r="E48" s="719">
        <v>44652</v>
      </c>
    </row>
    <row r="49" spans="2:6" x14ac:dyDescent="0.25">
      <c r="B49" s="164" t="str">
        <f>STN_9</f>
        <v>KLO2</v>
      </c>
      <c r="C49" s="719"/>
      <c r="D49" s="719"/>
      <c r="E49" s="719"/>
    </row>
    <row r="50" spans="2:6" x14ac:dyDescent="0.25">
      <c r="C50" s="471"/>
      <c r="D50" s="471"/>
      <c r="E50" s="471"/>
    </row>
    <row r="51" spans="2:6" x14ac:dyDescent="0.25">
      <c r="B51" s="25" t="s">
        <v>133</v>
      </c>
      <c r="C51" s="471"/>
      <c r="D51" s="471"/>
      <c r="E51" s="471"/>
    </row>
    <row r="52" spans="2:6" x14ac:dyDescent="0.25">
      <c r="B52" s="164" t="str">
        <f>STN_1</f>
        <v>BN</v>
      </c>
      <c r="C52" s="719"/>
      <c r="D52" s="719"/>
      <c r="E52" s="719"/>
    </row>
    <row r="53" spans="2:6" x14ac:dyDescent="0.25">
      <c r="B53" s="164" t="str">
        <f>STN_2</f>
        <v>KLO</v>
      </c>
      <c r="C53" s="719"/>
      <c r="D53" s="719"/>
      <c r="E53" s="719"/>
    </row>
    <row r="54" spans="2:6" x14ac:dyDescent="0.25">
      <c r="B54" s="164" t="str">
        <f>STN_3</f>
        <v>LLG</v>
      </c>
      <c r="C54" s="719"/>
      <c r="D54" s="719"/>
      <c r="E54" s="719"/>
    </row>
    <row r="55" spans="2:6" x14ac:dyDescent="0.25">
      <c r="B55" s="73" t="str">
        <f>STN_4</f>
        <v>MSD</v>
      </c>
      <c r="C55" s="719"/>
      <c r="D55" s="719"/>
      <c r="E55" s="719"/>
    </row>
    <row r="56" spans="2:6" x14ac:dyDescent="0.25">
      <c r="B56" s="164" t="str">
        <f>STN_5</f>
        <v>SLE</v>
      </c>
      <c r="C56" s="719">
        <v>43692</v>
      </c>
      <c r="D56" s="719">
        <v>44166</v>
      </c>
      <c r="E56" s="719">
        <v>44652</v>
      </c>
    </row>
    <row r="57" spans="2:6" x14ac:dyDescent="0.25">
      <c r="B57" s="164" t="str">
        <f>STN_9</f>
        <v>KLO2</v>
      </c>
      <c r="C57" s="719"/>
      <c r="D57" s="719"/>
      <c r="E57" s="719"/>
    </row>
    <row r="58" spans="2:6" x14ac:dyDescent="0.25">
      <c r="C58" s="604"/>
      <c r="D58" s="604"/>
      <c r="E58" s="604"/>
    </row>
    <row r="59" spans="2:6" x14ac:dyDescent="0.25">
      <c r="B59" s="25" t="s">
        <v>132</v>
      </c>
      <c r="C59" s="471"/>
      <c r="D59" s="471"/>
      <c r="E59" s="471"/>
    </row>
    <row r="60" spans="2:6" x14ac:dyDescent="0.25">
      <c r="B60" s="164" t="str">
        <f>STN_1</f>
        <v>BN</v>
      </c>
      <c r="C60" s="719">
        <v>43692</v>
      </c>
      <c r="D60" s="719">
        <v>44105</v>
      </c>
      <c r="E60" s="719">
        <v>44715</v>
      </c>
      <c r="F60" s="48"/>
    </row>
    <row r="61" spans="2:6" x14ac:dyDescent="0.25">
      <c r="B61" s="164" t="str">
        <f>STN_2</f>
        <v>KLO</v>
      </c>
      <c r="C61" s="719">
        <v>43692</v>
      </c>
      <c r="D61" s="719">
        <v>44197</v>
      </c>
      <c r="E61" s="719">
        <v>44896</v>
      </c>
      <c r="F61" s="48"/>
    </row>
    <row r="62" spans="2:6" x14ac:dyDescent="0.25">
      <c r="B62" s="164" t="str">
        <f>STN_3</f>
        <v>LLG</v>
      </c>
      <c r="C62" s="719">
        <v>43692</v>
      </c>
      <c r="D62" s="719">
        <v>44136</v>
      </c>
      <c r="E62" s="719">
        <v>44621</v>
      </c>
      <c r="F62" s="48"/>
    </row>
    <row r="63" spans="2:6" x14ac:dyDescent="0.25">
      <c r="B63" s="164" t="str">
        <f>STN_4</f>
        <v>MSD</v>
      </c>
      <c r="C63" s="719"/>
      <c r="D63" s="719"/>
      <c r="E63" s="719"/>
    </row>
    <row r="64" spans="2:6" x14ac:dyDescent="0.25">
      <c r="B64" s="164" t="str">
        <f>STN_5</f>
        <v>SLE</v>
      </c>
      <c r="C64" s="719">
        <v>43692</v>
      </c>
      <c r="D64" s="719">
        <v>44166</v>
      </c>
      <c r="E64" s="719">
        <v>44652</v>
      </c>
      <c r="F64" s="48"/>
    </row>
    <row r="65" spans="2:5" x14ac:dyDescent="0.25">
      <c r="B65" s="164" t="str">
        <f>STN_9</f>
        <v>KLO2</v>
      </c>
      <c r="C65" s="719"/>
      <c r="D65" s="719"/>
      <c r="E65" s="719"/>
    </row>
    <row r="66" spans="2:5" x14ac:dyDescent="0.25">
      <c r="C66" s="471"/>
      <c r="D66" s="471"/>
      <c r="E66" s="471"/>
    </row>
    <row r="67" spans="2:5" x14ac:dyDescent="0.25">
      <c r="B67" s="25" t="s">
        <v>138</v>
      </c>
      <c r="C67" s="471"/>
      <c r="D67" s="471"/>
      <c r="E67" s="471"/>
    </row>
    <row r="68" spans="2:5" x14ac:dyDescent="0.25">
      <c r="B68" s="164" t="s">
        <v>137</v>
      </c>
      <c r="C68" s="719">
        <v>43692</v>
      </c>
      <c r="D68" s="719">
        <v>44166</v>
      </c>
      <c r="E68" s="719">
        <v>44896</v>
      </c>
    </row>
    <row r="69" spans="2:5" x14ac:dyDescent="0.25">
      <c r="B69" s="165" t="s">
        <v>438</v>
      </c>
      <c r="C69" s="719">
        <v>43831</v>
      </c>
      <c r="D69" s="719">
        <v>43983</v>
      </c>
      <c r="E69" s="719">
        <v>44896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36"/>
  <sheetViews>
    <sheetView zoomScaleNormal="100" workbookViewId="0">
      <selection activeCell="J14" sqref="J14"/>
    </sheetView>
  </sheetViews>
  <sheetFormatPr defaultRowHeight="15" x14ac:dyDescent="0.25"/>
  <cols>
    <col min="1" max="1" width="3.42578125" customWidth="1"/>
    <col min="2" max="2" width="42.28515625" customWidth="1"/>
    <col min="6" max="6" width="9.28515625" bestFit="1" customWidth="1"/>
  </cols>
  <sheetData>
    <row r="1" spans="2:14" x14ac:dyDescent="0.25">
      <c r="B1" s="22" t="s">
        <v>99</v>
      </c>
    </row>
    <row r="3" spans="2:14" x14ac:dyDescent="0.25">
      <c r="B3" s="25" t="s">
        <v>589</v>
      </c>
    </row>
    <row r="4" spans="2:14" x14ac:dyDescent="0.25">
      <c r="B4" t="s">
        <v>131</v>
      </c>
    </row>
    <row r="5" spans="2:14" x14ac:dyDescent="0.25"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09">
        <v>2021</v>
      </c>
      <c r="I5" s="409">
        <v>2022</v>
      </c>
      <c r="J5" s="409">
        <v>2023</v>
      </c>
      <c r="K5" s="675">
        <v>2024</v>
      </c>
      <c r="L5" s="675">
        <v>2025</v>
      </c>
      <c r="M5" s="4" t="s">
        <v>6</v>
      </c>
      <c r="N5" s="483"/>
    </row>
    <row r="6" spans="2:14" x14ac:dyDescent="0.25">
      <c r="B6" s="46" t="s">
        <v>125</v>
      </c>
      <c r="C6" s="38">
        <v>0</v>
      </c>
      <c r="D6" s="38">
        <v>0</v>
      </c>
      <c r="E6" s="38">
        <v>0</v>
      </c>
      <c r="F6" s="38">
        <v>0</v>
      </c>
      <c r="G6" s="38">
        <v>11.025204930650689</v>
      </c>
      <c r="H6" s="38">
        <v>11.025204930650689</v>
      </c>
      <c r="I6" s="38">
        <v>55.126024653253438</v>
      </c>
      <c r="J6" s="38">
        <v>55.126024653253438</v>
      </c>
      <c r="K6" s="38">
        <v>55.126024653253438</v>
      </c>
      <c r="L6" s="38">
        <v>55.126024653253438</v>
      </c>
      <c r="M6" s="14">
        <f>SUM(C6:L6)</f>
        <v>242.55450847431513</v>
      </c>
      <c r="N6" s="471"/>
    </row>
    <row r="7" spans="2:14" x14ac:dyDescent="0.25">
      <c r="B7" s="46" t="s">
        <v>126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3.9784031639126001</v>
      </c>
      <c r="I7" s="38">
        <v>3.9784031639126001</v>
      </c>
      <c r="J7" s="38">
        <v>3.9784031639126001</v>
      </c>
      <c r="K7" s="38">
        <v>3.9784031639126001</v>
      </c>
      <c r="L7" s="38">
        <v>3.9784031639126001</v>
      </c>
      <c r="M7" s="14">
        <f t="shared" ref="M7:M16" si="0">SUM(C7:L7)</f>
        <v>19.892015819562999</v>
      </c>
      <c r="N7" s="471"/>
    </row>
    <row r="8" spans="2:14" x14ac:dyDescent="0.25">
      <c r="B8" s="46" t="s">
        <v>127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2.7884185731067426</v>
      </c>
      <c r="I8" s="38">
        <v>2.7884185731067426</v>
      </c>
      <c r="J8" s="38">
        <v>19.518930011747198</v>
      </c>
      <c r="K8" s="38">
        <v>19.518930011747198</v>
      </c>
      <c r="L8" s="38">
        <v>21.640745032500586</v>
      </c>
      <c r="M8" s="14">
        <f t="shared" si="0"/>
        <v>66.255442202208471</v>
      </c>
      <c r="N8" s="471"/>
    </row>
    <row r="9" spans="2:14" x14ac:dyDescent="0.25">
      <c r="B9" t="s">
        <v>17</v>
      </c>
      <c r="C9" s="38">
        <v>0</v>
      </c>
      <c r="D9" s="38">
        <v>0</v>
      </c>
      <c r="E9" s="38">
        <v>0</v>
      </c>
      <c r="F9" s="38">
        <v>0</v>
      </c>
      <c r="G9" s="38">
        <v>22.344415326118728</v>
      </c>
      <c r="H9" s="38">
        <v>46.849770818644998</v>
      </c>
      <c r="I9" s="38">
        <v>46.849770818644998</v>
      </c>
      <c r="J9" s="38">
        <v>144.87119278875008</v>
      </c>
      <c r="K9" s="38">
        <v>144.87119278875008</v>
      </c>
      <c r="L9" s="38">
        <v>144.87119278875008</v>
      </c>
      <c r="M9" s="14">
        <f t="shared" si="0"/>
        <v>550.65753532965891</v>
      </c>
      <c r="N9" s="471"/>
    </row>
    <row r="10" spans="2:14" x14ac:dyDescent="0.25">
      <c r="B10" t="s">
        <v>30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88.408959198057786</v>
      </c>
      <c r="I10" s="38">
        <v>88.408959198057786</v>
      </c>
      <c r="J10" s="38">
        <v>362.47673271203689</v>
      </c>
      <c r="K10" s="38">
        <v>362.47673271203689</v>
      </c>
      <c r="L10" s="38">
        <v>362.47673271203689</v>
      </c>
      <c r="M10" s="14">
        <f t="shared" si="0"/>
        <v>1264.2481165322263</v>
      </c>
      <c r="N10" s="471"/>
    </row>
    <row r="11" spans="2:14" x14ac:dyDescent="0.25">
      <c r="B11" s="46" t="s">
        <v>16</v>
      </c>
      <c r="C11" s="633">
        <v>0</v>
      </c>
      <c r="D11" s="633">
        <v>0</v>
      </c>
      <c r="E11" s="633">
        <v>0</v>
      </c>
      <c r="F11" s="633">
        <v>0</v>
      </c>
      <c r="G11" s="633">
        <v>0</v>
      </c>
      <c r="H11" s="633">
        <v>0</v>
      </c>
      <c r="I11" s="633">
        <v>0</v>
      </c>
      <c r="J11" s="633">
        <v>0</v>
      </c>
      <c r="K11" s="633">
        <v>0</v>
      </c>
      <c r="L11" s="633">
        <v>0</v>
      </c>
      <c r="M11" s="14">
        <f t="shared" si="0"/>
        <v>0</v>
      </c>
      <c r="N11" s="471"/>
    </row>
    <row r="12" spans="2:14" x14ac:dyDescent="0.25">
      <c r="B12" t="s">
        <v>514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14">
        <f t="shared" si="0"/>
        <v>0</v>
      </c>
      <c r="N12" s="471"/>
    </row>
    <row r="13" spans="2:14" x14ac:dyDescent="0.25">
      <c r="B13" s="471" t="s">
        <v>122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14">
        <f t="shared" si="0"/>
        <v>0</v>
      </c>
      <c r="N13" s="471"/>
    </row>
    <row r="14" spans="2:14" x14ac:dyDescent="0.25">
      <c r="B14" s="471" t="s">
        <v>31</v>
      </c>
      <c r="C14" s="633">
        <v>0</v>
      </c>
      <c r="D14" s="633">
        <v>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14">
        <f t="shared" si="0"/>
        <v>0</v>
      </c>
      <c r="N14" s="471"/>
    </row>
    <row r="15" spans="2:14" x14ac:dyDescent="0.25">
      <c r="B15" s="471" t="s">
        <v>32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14">
        <f t="shared" si="0"/>
        <v>0</v>
      </c>
      <c r="N15" s="471"/>
    </row>
    <row r="16" spans="2:14" x14ac:dyDescent="0.25">
      <c r="B16" s="445" t="s">
        <v>657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238.87944016409824</v>
      </c>
      <c r="I16" s="38">
        <v>238.87944016409824</v>
      </c>
      <c r="J16" s="38">
        <v>238.87944016409824</v>
      </c>
      <c r="K16" s="38">
        <v>238.87944016409824</v>
      </c>
      <c r="L16" s="38">
        <v>238.87944016409824</v>
      </c>
      <c r="M16" s="14">
        <f t="shared" si="0"/>
        <v>1194.3972008204912</v>
      </c>
      <c r="N16" s="471"/>
    </row>
    <row r="17" spans="2:13" x14ac:dyDescent="0.25">
      <c r="B17" s="25" t="s">
        <v>634</v>
      </c>
      <c r="C17" s="158">
        <f t="shared" ref="C17:M17" si="1">SUM(C6:C16)</f>
        <v>0</v>
      </c>
      <c r="D17" s="158">
        <f t="shared" si="1"/>
        <v>0</v>
      </c>
      <c r="E17" s="158">
        <f t="shared" si="1"/>
        <v>0</v>
      </c>
      <c r="F17" s="158">
        <f t="shared" si="1"/>
        <v>0</v>
      </c>
      <c r="G17" s="158">
        <f t="shared" si="1"/>
        <v>33.369620256769416</v>
      </c>
      <c r="H17" s="158">
        <f t="shared" si="1"/>
        <v>391.93019684847104</v>
      </c>
      <c r="I17" s="158">
        <f t="shared" si="1"/>
        <v>436.03101657107379</v>
      </c>
      <c r="J17" s="158">
        <f t="shared" si="1"/>
        <v>824.85072349379845</v>
      </c>
      <c r="K17" s="158">
        <f t="shared" si="1"/>
        <v>824.85072349379845</v>
      </c>
      <c r="L17" s="158">
        <f t="shared" si="1"/>
        <v>826.97253851455184</v>
      </c>
      <c r="M17" s="26">
        <f t="shared" si="1"/>
        <v>3338.0048191784626</v>
      </c>
    </row>
    <row r="18" spans="2:13" x14ac:dyDescent="0.25">
      <c r="B18" s="199" t="s">
        <v>72</v>
      </c>
      <c r="D18" s="202"/>
      <c r="E18" s="202"/>
      <c r="F18" s="202"/>
      <c r="G18" s="202"/>
      <c r="H18" s="202"/>
      <c r="I18" s="202"/>
      <c r="J18" s="202"/>
      <c r="K18" s="202"/>
      <c r="L18" s="202"/>
    </row>
    <row r="20" spans="2:13" x14ac:dyDescent="0.25">
      <c r="B20" s="25" t="s">
        <v>236</v>
      </c>
      <c r="F20" s="19"/>
      <c r="G20" s="19"/>
    </row>
    <row r="21" spans="2:13" x14ac:dyDescent="0.25">
      <c r="B21" t="s">
        <v>131</v>
      </c>
    </row>
    <row r="22" spans="2:13" x14ac:dyDescent="0.25">
      <c r="C22" s="4">
        <v>2016</v>
      </c>
      <c r="D22" s="4">
        <v>2017</v>
      </c>
      <c r="E22" s="4">
        <v>2018</v>
      </c>
      <c r="F22" s="4">
        <v>2019</v>
      </c>
      <c r="G22" s="4">
        <v>2020</v>
      </c>
      <c r="H22" s="409">
        <v>2021</v>
      </c>
      <c r="I22" s="409">
        <v>2022</v>
      </c>
      <c r="J22" s="409">
        <v>2023</v>
      </c>
      <c r="K22" s="675">
        <v>2024</v>
      </c>
      <c r="L22" s="675">
        <v>2025</v>
      </c>
      <c r="M22" s="4" t="s">
        <v>6</v>
      </c>
    </row>
    <row r="23" spans="2:13" x14ac:dyDescent="0.25">
      <c r="B23" s="46" t="s">
        <v>125</v>
      </c>
      <c r="C23" s="19">
        <f>C6*Escalators!D$10</f>
        <v>0</v>
      </c>
      <c r="D23" s="19">
        <f>D6*Escalators!E$10</f>
        <v>0</v>
      </c>
      <c r="E23" s="19">
        <f>E6*Escalators!F$10</f>
        <v>0</v>
      </c>
      <c r="F23" s="19">
        <f>F6*Escalators!G$10</f>
        <v>0</v>
      </c>
      <c r="G23" s="19">
        <f>G6*Escalators!H$10</f>
        <v>12.098444192209419</v>
      </c>
      <c r="H23" s="19">
        <f>H6*Escalators!I$10</f>
        <v>12.382696805929244</v>
      </c>
      <c r="I23" s="19">
        <f>I6*Escalators!J$10</f>
        <v>63.368139634972749</v>
      </c>
      <c r="J23" s="19">
        <f>J6*Escalators!K$10</f>
        <v>64.856972333759174</v>
      </c>
      <c r="K23" s="19">
        <f>K6*Escalators!L$10</f>
        <v>66.380785115876805</v>
      </c>
      <c r="L23" s="19">
        <f>L6*Escalators!M$10</f>
        <v>67.94039983742195</v>
      </c>
      <c r="M23" s="14">
        <f t="shared" ref="M23:M33" si="2">SUM(C23:J23)</f>
        <v>152.70625296687058</v>
      </c>
    </row>
    <row r="24" spans="2:13" x14ac:dyDescent="0.25">
      <c r="B24" s="46" t="s">
        <v>126</v>
      </c>
      <c r="C24" s="19">
        <f>C7*Escalators!D$10</f>
        <v>0</v>
      </c>
      <c r="D24" s="19">
        <f>D7*Escalators!E$10</f>
        <v>0</v>
      </c>
      <c r="E24" s="19">
        <f>E7*Escalators!F$10</f>
        <v>0</v>
      </c>
      <c r="F24" s="19">
        <f>F7*Escalators!G$10</f>
        <v>0</v>
      </c>
      <c r="G24" s="19">
        <f>G7*Escalators!H$10</f>
        <v>0</v>
      </c>
      <c r="H24" s="19">
        <f>H7*Escalators!I$10</f>
        <v>4.4682489314574498</v>
      </c>
      <c r="I24" s="19">
        <f>I7*Escalators!J$10</f>
        <v>4.5732303172736097</v>
      </c>
      <c r="J24" s="19">
        <f>J7*Escalators!K$10</f>
        <v>4.6806782378636687</v>
      </c>
      <c r="K24" s="19">
        <f>K7*Escalators!L$10</f>
        <v>4.7906506443943373</v>
      </c>
      <c r="L24" s="19">
        <f>L7*Escalators!M$10</f>
        <v>4.9032068495933947</v>
      </c>
      <c r="M24" s="14">
        <f t="shared" si="2"/>
        <v>13.722157486594728</v>
      </c>
    </row>
    <row r="25" spans="2:13" x14ac:dyDescent="0.25">
      <c r="B25" s="46" t="s">
        <v>127</v>
      </c>
      <c r="C25" s="19">
        <f>C8*Escalators!D$10</f>
        <v>0</v>
      </c>
      <c r="D25" s="19">
        <f>D8*Escalators!E$10</f>
        <v>0</v>
      </c>
      <c r="E25" s="19">
        <f>E8*Escalators!F$10</f>
        <v>0</v>
      </c>
      <c r="F25" s="19">
        <f>F8*Escalators!G$10</f>
        <v>0</v>
      </c>
      <c r="G25" s="19">
        <f>G8*Escalators!H$10</f>
        <v>0</v>
      </c>
      <c r="H25" s="19">
        <f>H8*Escalators!I$10</f>
        <v>3.1317460288481773</v>
      </c>
      <c r="I25" s="19">
        <f>I8*Escalators!J$10</f>
        <v>3.205326315706881</v>
      </c>
      <c r="J25" s="19">
        <f>J8*Escalators!K$10</f>
        <v>22.964447585678684</v>
      </c>
      <c r="K25" s="19">
        <f>K8*Escalators!L$10</f>
        <v>23.503996650430707</v>
      </c>
      <c r="L25" s="19">
        <f>L8*Escalators!M$10</f>
        <v>26.671266058743807</v>
      </c>
      <c r="M25" s="14">
        <f t="shared" si="2"/>
        <v>29.301519930233741</v>
      </c>
    </row>
    <row r="26" spans="2:13" x14ac:dyDescent="0.25">
      <c r="B26" t="s">
        <v>17</v>
      </c>
      <c r="C26" s="19">
        <f>C9*Escalators!D$10</f>
        <v>0</v>
      </c>
      <c r="D26" s="19">
        <f>D9*Escalators!E$10</f>
        <v>0</v>
      </c>
      <c r="E26" s="19">
        <f>E9*Escalators!F$10</f>
        <v>0</v>
      </c>
      <c r="F26" s="19">
        <f>F9*Escalators!G$10</f>
        <v>0</v>
      </c>
      <c r="G26" s="19">
        <f>G9*Escalators!H$10</f>
        <v>24.519513562877751</v>
      </c>
      <c r="H26" s="19">
        <f>H9*Escalators!I$10</f>
        <v>52.618206293995335</v>
      </c>
      <c r="I26" s="19">
        <f>I9*Escalators!J$10</f>
        <v>53.854469604442187</v>
      </c>
      <c r="J26" s="19">
        <f>J9*Escalators!K$10</f>
        <v>170.44412329311916</v>
      </c>
      <c r="K26" s="19">
        <f>K9*Escalators!L$10</f>
        <v>174.4487032845243</v>
      </c>
      <c r="L26" s="19">
        <f>L9*Escalators!M$10</f>
        <v>178.54737077274493</v>
      </c>
      <c r="M26" s="14">
        <f t="shared" si="2"/>
        <v>301.43631275443443</v>
      </c>
    </row>
    <row r="27" spans="2:13" x14ac:dyDescent="0.25">
      <c r="B27" t="s">
        <v>30</v>
      </c>
      <c r="C27" s="19">
        <f>C10*Escalators!D$10</f>
        <v>0</v>
      </c>
      <c r="D27" s="19">
        <f>D10*Escalators!E$10</f>
        <v>0</v>
      </c>
      <c r="E27" s="19">
        <f>E10*Escalators!F$10</f>
        <v>0</v>
      </c>
      <c r="F27" s="19">
        <f>F10*Escalators!G$10</f>
        <v>0</v>
      </c>
      <c r="G27" s="19">
        <f>G10*Escalators!H$10</f>
        <v>0</v>
      </c>
      <c r="H27" s="19">
        <f>H10*Escalators!I$10</f>
        <v>99.294420699054456</v>
      </c>
      <c r="I27" s="19">
        <f>I10*Escalators!J$10</f>
        <v>101.627340383858</v>
      </c>
      <c r="J27" s="19">
        <f>J10*Escalators!K$10</f>
        <v>426.46179500535646</v>
      </c>
      <c r="K27" s="19">
        <f>K10*Escalators!L$10</f>
        <v>436.48150315592852</v>
      </c>
      <c r="L27" s="19">
        <f>L10*Escalators!M$10</f>
        <v>446.73662407406482</v>
      </c>
      <c r="M27" s="14">
        <f t="shared" si="2"/>
        <v>627.38355608826896</v>
      </c>
    </row>
    <row r="28" spans="2:13" x14ac:dyDescent="0.25">
      <c r="B28" t="s">
        <v>16</v>
      </c>
      <c r="C28" s="19">
        <f>C11*Escalators!D$10</f>
        <v>0</v>
      </c>
      <c r="D28" s="19">
        <f>D11*Escalators!E$10</f>
        <v>0</v>
      </c>
      <c r="E28" s="19">
        <f>E11*Escalators!F$10</f>
        <v>0</v>
      </c>
      <c r="F28" s="19">
        <f>F11*Escalators!G$10</f>
        <v>0</v>
      </c>
      <c r="G28" s="19">
        <f>G11*Escalators!H$10</f>
        <v>0</v>
      </c>
      <c r="H28" s="19">
        <f>H11*Escalators!I$10</f>
        <v>0</v>
      </c>
      <c r="I28" s="19">
        <f>I11*Escalators!J$10</f>
        <v>0</v>
      </c>
      <c r="J28" s="19">
        <f>J11*Escalators!K$10</f>
        <v>0</v>
      </c>
      <c r="K28" s="19">
        <f>K11*Escalators!L$10</f>
        <v>0</v>
      </c>
      <c r="L28" s="19">
        <f>L11*Escalators!M$10</f>
        <v>0</v>
      </c>
      <c r="M28" s="14">
        <f>SUM(C28:J28)</f>
        <v>0</v>
      </c>
    </row>
    <row r="29" spans="2:13" x14ac:dyDescent="0.25">
      <c r="B29" t="s">
        <v>514</v>
      </c>
      <c r="C29" s="19">
        <f>C12*Escalators!D$10</f>
        <v>0</v>
      </c>
      <c r="D29" s="19">
        <f>D12*Escalators!E$10</f>
        <v>0</v>
      </c>
      <c r="E29" s="19">
        <f>E12*Escalators!F$10</f>
        <v>0</v>
      </c>
      <c r="F29" s="19">
        <f>F12*Escalators!G$10</f>
        <v>0</v>
      </c>
      <c r="G29" s="19">
        <f>G12*Escalators!H$10</f>
        <v>0</v>
      </c>
      <c r="H29" s="19">
        <f>H12*Escalators!I$10</f>
        <v>0</v>
      </c>
      <c r="I29" s="19">
        <f>I12*Escalators!J$10</f>
        <v>0</v>
      </c>
      <c r="J29" s="19">
        <f>J12*Escalators!K$10</f>
        <v>0</v>
      </c>
      <c r="K29" s="19">
        <f>K12*Escalators!L$10</f>
        <v>0</v>
      </c>
      <c r="L29" s="19">
        <f>L12*Escalators!M$10</f>
        <v>0</v>
      </c>
      <c r="M29" s="14">
        <f>SUM(C29:J29)</f>
        <v>0</v>
      </c>
    </row>
    <row r="30" spans="2:13" x14ac:dyDescent="0.25">
      <c r="B30" t="s">
        <v>122</v>
      </c>
      <c r="C30" s="325">
        <f>C13*Escalators!D$10</f>
        <v>0</v>
      </c>
      <c r="D30" s="325">
        <f>D13*Escalators!E$10</f>
        <v>0</v>
      </c>
      <c r="E30" s="325">
        <f>E13*Escalators!F$10</f>
        <v>0</v>
      </c>
      <c r="F30" s="325">
        <f>F13*Escalators!G$10</f>
        <v>0</v>
      </c>
      <c r="G30" s="325">
        <f>G13*Escalators!H$10</f>
        <v>0</v>
      </c>
      <c r="H30" s="325">
        <f>H13*Escalators!I$10</f>
        <v>0</v>
      </c>
      <c r="I30" s="325">
        <f>I13*Escalators!J$10</f>
        <v>0</v>
      </c>
      <c r="J30" s="325">
        <f>J13*Escalators!K$10</f>
        <v>0</v>
      </c>
      <c r="K30" s="325">
        <f>K13*Escalators!L$10</f>
        <v>0</v>
      </c>
      <c r="L30" s="325">
        <f>L13*Escalators!M$10</f>
        <v>0</v>
      </c>
      <c r="M30" s="14">
        <f t="shared" si="2"/>
        <v>0</v>
      </c>
    </row>
    <row r="31" spans="2:13" x14ac:dyDescent="0.25">
      <c r="B31" t="s">
        <v>31</v>
      </c>
      <c r="C31" s="325">
        <f>C14*Escalators!D$10</f>
        <v>0</v>
      </c>
      <c r="D31" s="325">
        <f>D14*Escalators!E$10</f>
        <v>0</v>
      </c>
      <c r="E31" s="325">
        <f>E14*Escalators!F$10</f>
        <v>0</v>
      </c>
      <c r="F31" s="325">
        <f>F14*Escalators!G$10</f>
        <v>0</v>
      </c>
      <c r="G31" s="325">
        <f>G14*Escalators!H$10</f>
        <v>0</v>
      </c>
      <c r="H31" s="325">
        <f>H14*Escalators!I$10</f>
        <v>0</v>
      </c>
      <c r="I31" s="325">
        <f>I14*Escalators!J$10</f>
        <v>0</v>
      </c>
      <c r="J31" s="325">
        <f>J14*Escalators!K$10</f>
        <v>0</v>
      </c>
      <c r="K31" s="325">
        <f>K14*Escalators!L$10</f>
        <v>0</v>
      </c>
      <c r="L31" s="325">
        <f>L14*Escalators!M$10</f>
        <v>0</v>
      </c>
      <c r="M31" s="14">
        <f t="shared" si="2"/>
        <v>0</v>
      </c>
    </row>
    <row r="32" spans="2:13" x14ac:dyDescent="0.25">
      <c r="B32" t="s">
        <v>32</v>
      </c>
      <c r="C32" s="325">
        <f>C15*Escalators!D$10</f>
        <v>0</v>
      </c>
      <c r="D32" s="325">
        <f>D15*Escalators!E$10</f>
        <v>0</v>
      </c>
      <c r="E32" s="325">
        <f>E15*Escalators!F$10</f>
        <v>0</v>
      </c>
      <c r="F32" s="325">
        <f>F15*Escalators!G$10</f>
        <v>0</v>
      </c>
      <c r="G32" s="325">
        <f>G15*Escalators!H$10</f>
        <v>0</v>
      </c>
      <c r="H32" s="325">
        <f>H15*Escalators!I$10</f>
        <v>0</v>
      </c>
      <c r="I32" s="325">
        <f>I15*Escalators!J$10</f>
        <v>0</v>
      </c>
      <c r="J32" s="325">
        <f>J15*Escalators!K$10</f>
        <v>0</v>
      </c>
      <c r="K32" s="325">
        <f>K15*Escalators!L$10</f>
        <v>0</v>
      </c>
      <c r="L32" s="325">
        <f>L15*Escalators!M$10</f>
        <v>0</v>
      </c>
      <c r="M32" s="14">
        <f t="shared" si="2"/>
        <v>0</v>
      </c>
    </row>
    <row r="33" spans="2:13" x14ac:dyDescent="0.25">
      <c r="B33" t="s">
        <v>124</v>
      </c>
      <c r="C33" s="325">
        <f>C16*Escalators!D$10</f>
        <v>0</v>
      </c>
      <c r="D33" s="325">
        <f>D16*Escalators!E$10</f>
        <v>0</v>
      </c>
      <c r="E33" s="325">
        <f>E16*Escalators!F$10</f>
        <v>0</v>
      </c>
      <c r="F33" s="325">
        <f>F16*Escalators!G$10</f>
        <v>0</v>
      </c>
      <c r="G33" s="325">
        <f>G16*Escalators!H$10</f>
        <v>0</v>
      </c>
      <c r="H33" s="325">
        <f>H16*Escalators!I$10</f>
        <v>268.29176412846692</v>
      </c>
      <c r="I33" s="325">
        <f>I16*Escalators!J$10</f>
        <v>274.59527175154858</v>
      </c>
      <c r="J33" s="325">
        <f>J16*Escalators!K$10</f>
        <v>281.04688011295639</v>
      </c>
      <c r="K33" s="325">
        <f>K16*Escalators!L$10</f>
        <v>287.65006883546619</v>
      </c>
      <c r="L33" s="325">
        <f>L16*Escalators!M$10</f>
        <v>294.40839929549514</v>
      </c>
      <c r="M33" s="14">
        <f t="shared" si="2"/>
        <v>823.93391599297183</v>
      </c>
    </row>
    <row r="34" spans="2:13" x14ac:dyDescent="0.25">
      <c r="B34" s="25" t="s">
        <v>149</v>
      </c>
      <c r="C34" s="26">
        <f t="shared" ref="C34:M34" si="3">SUM(C23:C33)</f>
        <v>0</v>
      </c>
      <c r="D34" s="26">
        <f t="shared" si="3"/>
        <v>0</v>
      </c>
      <c r="E34" s="26">
        <f t="shared" si="3"/>
        <v>0</v>
      </c>
      <c r="F34" s="26">
        <f t="shared" si="3"/>
        <v>0</v>
      </c>
      <c r="G34" s="26">
        <f t="shared" si="3"/>
        <v>36.617957755087168</v>
      </c>
      <c r="H34" s="26">
        <f t="shared" si="3"/>
        <v>440.18708288775156</v>
      </c>
      <c r="I34" s="26">
        <f t="shared" si="3"/>
        <v>501.22377800780203</v>
      </c>
      <c r="J34" s="26">
        <f t="shared" si="3"/>
        <v>970.4548965687336</v>
      </c>
      <c r="K34" s="26">
        <f t="shared" si="3"/>
        <v>993.25570768662089</v>
      </c>
      <c r="L34" s="26">
        <f t="shared" si="3"/>
        <v>1019.2072668880642</v>
      </c>
      <c r="M34" s="26">
        <f t="shared" si="3"/>
        <v>1948.4837152193743</v>
      </c>
    </row>
    <row r="35" spans="2:13" x14ac:dyDescent="0.25">
      <c r="B35" s="199" t="s">
        <v>72</v>
      </c>
      <c r="C35" s="193">
        <f>C17*Escalators!D10-C34</f>
        <v>0</v>
      </c>
      <c r="D35" s="193">
        <f>D17*Escalators!E10-D34</f>
        <v>0</v>
      </c>
      <c r="E35" s="193">
        <f>E17*Escalators!F10-E34</f>
        <v>0</v>
      </c>
      <c r="F35" s="193">
        <f>F17*Escalators!G10-F34</f>
        <v>0</v>
      </c>
      <c r="G35" s="193">
        <f>G17*Escalators!H10-G34</f>
        <v>0</v>
      </c>
      <c r="H35" s="193">
        <f>H17*Escalators!I10-H34</f>
        <v>0</v>
      </c>
      <c r="I35" s="193">
        <f>I17*Escalators!J10-I34</f>
        <v>0</v>
      </c>
      <c r="J35" s="193">
        <f>J17*Escalators!K10-J34</f>
        <v>0</v>
      </c>
      <c r="K35" s="193">
        <f>K17*Escalators!L10-K34</f>
        <v>0</v>
      </c>
      <c r="L35" s="193">
        <f>L17*Escalators!M10-L34</f>
        <v>0</v>
      </c>
      <c r="M35" s="196">
        <f>SUM(C35:G35)</f>
        <v>0</v>
      </c>
    </row>
    <row r="36" spans="2:13" x14ac:dyDescent="0.25">
      <c r="F36" s="11"/>
      <c r="G36" s="14"/>
      <c r="H36" s="14"/>
      <c r="I36" s="14"/>
      <c r="J36" s="14"/>
      <c r="K36" s="14"/>
      <c r="L36" s="14"/>
    </row>
  </sheetData>
  <pageMargins left="0.7" right="0.7" top="0.75" bottom="0.75" header="0.3" footer="0.3"/>
  <pageSetup paperSize="9" orientation="landscape" r:id="rId1"/>
  <ignoredErrors>
    <ignoredError sqref="C17 D17:I17 J17:L17" formulaRange="1"/>
    <ignoredError sqref="M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B1:AI124"/>
  <sheetViews>
    <sheetView zoomScale="85" zoomScaleNormal="85" workbookViewId="0">
      <pane xSplit="3" ySplit="4" topLeftCell="G5" activePane="bottomRight" state="frozen"/>
      <selection activeCell="G18" sqref="G18"/>
      <selection pane="topRight" activeCell="G18" sqref="G18"/>
      <selection pane="bottomLeft" activeCell="G18" sqref="G18"/>
      <selection pane="bottomRight" activeCell="O6" sqref="O6"/>
    </sheetView>
  </sheetViews>
  <sheetFormatPr defaultRowHeight="15" outlineLevelRow="1" outlineLevelCol="1" x14ac:dyDescent="0.25"/>
  <cols>
    <col min="1" max="1" width="2.28515625" customWidth="1"/>
    <col min="2" max="2" width="3" customWidth="1"/>
    <col min="3" max="3" width="52" customWidth="1"/>
    <col min="4" max="4" width="22.28515625" hidden="1" customWidth="1" outlineLevel="1"/>
    <col min="5" max="5" width="15.28515625" hidden="1" customWidth="1" outlineLevel="1"/>
    <col min="6" max="6" width="31.28515625" hidden="1" customWidth="1" outlineLevel="1"/>
    <col min="7" max="7" width="9.28515625" style="471" customWidth="1" collapsed="1"/>
    <col min="8" max="8" width="8.7109375" customWidth="1"/>
    <col min="9" max="9" width="10.7109375" customWidth="1"/>
    <col min="10" max="10" width="2.28515625" customWidth="1"/>
    <col min="11" max="11" width="9.7109375" customWidth="1"/>
    <col min="12" max="12" width="9.5703125" bestFit="1" customWidth="1"/>
    <col min="13" max="13" width="10" style="471" customWidth="1"/>
    <col min="14" max="14" width="12.28515625" style="471" customWidth="1"/>
    <col min="15" max="15" width="9.28515625" style="471" bestFit="1" customWidth="1"/>
    <col min="16" max="16" width="11.42578125" style="471" customWidth="1"/>
    <col min="17" max="18" width="9.7109375" style="471" bestFit="1" customWidth="1"/>
    <col min="19" max="19" width="10.28515625" style="471" customWidth="1"/>
    <col min="20" max="20" width="9.7109375" style="471" bestFit="1" customWidth="1"/>
    <col min="21" max="22" width="9" style="471" bestFit="1" customWidth="1"/>
    <col min="23" max="24" width="9.140625" style="471"/>
    <col min="26" max="35" width="9.140625" customWidth="1" outlineLevel="1"/>
    <col min="36" max="36" width="8.85546875"/>
  </cols>
  <sheetData>
    <row r="1" spans="2:33" x14ac:dyDescent="0.25">
      <c r="N1" s="745" t="s">
        <v>432</v>
      </c>
    </row>
    <row r="2" spans="2:33" x14ac:dyDescent="0.25">
      <c r="B2" s="22" t="str">
        <f>STN_1&amp;" Volumes &amp; Unit Rates"</f>
        <v>BN Volumes &amp; Unit Rates</v>
      </c>
      <c r="H2" s="338"/>
      <c r="I2" s="338"/>
      <c r="J2" s="338"/>
      <c r="K2" s="338"/>
      <c r="L2" s="338"/>
    </row>
    <row r="3" spans="2:33" x14ac:dyDescent="0.25">
      <c r="B3" t="str">
        <f>STN_1</f>
        <v>BN</v>
      </c>
      <c r="G3" s="771" t="s">
        <v>151</v>
      </c>
      <c r="H3" s="772"/>
      <c r="I3" s="773"/>
      <c r="K3" s="771" t="s">
        <v>604</v>
      </c>
      <c r="L3" s="772"/>
      <c r="M3" s="772"/>
      <c r="N3" s="772"/>
      <c r="O3" s="772"/>
      <c r="P3" s="773"/>
      <c r="R3" s="774" t="s">
        <v>363</v>
      </c>
      <c r="S3" s="775"/>
      <c r="T3" s="775"/>
      <c r="U3" s="775"/>
      <c r="V3" s="775"/>
      <c r="W3" s="775"/>
      <c r="X3" s="776"/>
    </row>
    <row r="4" spans="2:33" ht="45" customHeight="1" x14ac:dyDescent="0.25">
      <c r="D4" t="s">
        <v>373</v>
      </c>
      <c r="E4" t="s">
        <v>101</v>
      </c>
      <c r="G4" s="541" t="s">
        <v>605</v>
      </c>
      <c r="H4" s="218" t="s">
        <v>281</v>
      </c>
      <c r="I4" s="208" t="s">
        <v>309</v>
      </c>
      <c r="K4" s="208" t="s">
        <v>151</v>
      </c>
      <c r="L4" s="208" t="s">
        <v>306</v>
      </c>
      <c r="M4" s="568" t="s">
        <v>152</v>
      </c>
      <c r="N4" s="568" t="s">
        <v>153</v>
      </c>
      <c r="O4" s="542" t="s">
        <v>77</v>
      </c>
      <c r="P4" s="542" t="s">
        <v>307</v>
      </c>
      <c r="Q4" s="543" t="s">
        <v>130</v>
      </c>
      <c r="R4" s="544" t="s">
        <v>301</v>
      </c>
      <c r="S4" s="544" t="s">
        <v>305</v>
      </c>
      <c r="T4" s="544" t="s">
        <v>272</v>
      </c>
      <c r="U4" s="544" t="s">
        <v>302</v>
      </c>
      <c r="V4" s="544" t="s">
        <v>303</v>
      </c>
      <c r="W4" s="544" t="s">
        <v>304</v>
      </c>
      <c r="X4" s="544" t="s">
        <v>357</v>
      </c>
      <c r="Y4" s="435" t="s">
        <v>471</v>
      </c>
    </row>
    <row r="5" spans="2:33" x14ac:dyDescent="0.25">
      <c r="B5" s="236" t="s">
        <v>330</v>
      </c>
      <c r="C5" s="279"/>
      <c r="D5" s="279"/>
      <c r="E5" s="279"/>
      <c r="F5" s="279"/>
      <c r="G5" s="541"/>
      <c r="H5" s="280"/>
      <c r="I5" s="281"/>
      <c r="J5" s="279"/>
      <c r="K5" s="281"/>
      <c r="L5" s="281"/>
      <c r="M5" s="545"/>
      <c r="N5" s="540"/>
      <c r="O5" s="545"/>
      <c r="P5" s="545"/>
      <c r="R5" s="546">
        <f>Lab_Rates!$C$6*Escalators!C7*(1+Escalators!C17)</f>
        <v>158.45839054425579</v>
      </c>
      <c r="S5" s="546">
        <f>Lab_Rates!$C$7*Escalators!C7*(1+Escalators!C17)</f>
        <v>148.03349642950209</v>
      </c>
      <c r="T5" s="546">
        <f>Lab_Rates!$C$8*Escalators!C7*(1+Escalators!C17)</f>
        <v>172.01075289343555</v>
      </c>
      <c r="U5" s="546">
        <f>Lab_Rates!$C$9*Escalators!C7*(1+Escalators!C17)</f>
        <v>224.1352234672039</v>
      </c>
      <c r="V5" s="546">
        <f>Lab_Rates!$C$6*Escalators!C7*(1+Escalators!C17)</f>
        <v>158.45839054425579</v>
      </c>
      <c r="W5" s="546">
        <f>Lab_Rates!$C$10*Escalators!C7*(1+Escalators!C17)</f>
        <v>158.45839054425579</v>
      </c>
      <c r="X5" s="546">
        <f>Lab_Rates!$C$5*Escalators!C7*(1+Escalators!C17)</f>
        <v>130.31117643442087</v>
      </c>
    </row>
    <row r="6" spans="2:33" x14ac:dyDescent="0.25">
      <c r="B6" s="239"/>
      <c r="C6" s="161"/>
      <c r="D6" s="161"/>
      <c r="E6" s="161"/>
      <c r="F6" s="161"/>
      <c r="G6" s="547"/>
      <c r="H6" s="219"/>
      <c r="I6" s="252"/>
      <c r="K6" s="259"/>
      <c r="L6" s="259"/>
      <c r="M6" s="547"/>
      <c r="N6" s="530"/>
      <c r="O6" s="547"/>
      <c r="P6" s="548"/>
      <c r="R6" s="522"/>
      <c r="S6" s="522"/>
      <c r="T6" s="522"/>
      <c r="U6" s="522"/>
      <c r="V6" s="522"/>
      <c r="W6" s="522"/>
      <c r="X6" s="522"/>
    </row>
    <row r="7" spans="2:33" x14ac:dyDescent="0.25">
      <c r="B7" s="220" t="s">
        <v>331</v>
      </c>
      <c r="D7" t="s">
        <v>376</v>
      </c>
      <c r="E7" t="s">
        <v>376</v>
      </c>
      <c r="G7" s="549"/>
      <c r="H7" s="297"/>
      <c r="I7" s="298"/>
      <c r="K7" s="292"/>
      <c r="L7" s="259">
        <f>SUMPRODUCT(R$5:X$5,R7:X7)/Thousands</f>
        <v>0</v>
      </c>
      <c r="M7" s="525">
        <v>1415.0442477876102</v>
      </c>
      <c r="N7" s="525"/>
      <c r="O7" s="549"/>
      <c r="P7" s="548">
        <f>SUM(K7:O7)</f>
        <v>1415.0442477876102</v>
      </c>
      <c r="Q7" s="277"/>
      <c r="R7" s="519"/>
      <c r="S7" s="527"/>
      <c r="T7" s="527"/>
      <c r="U7" s="527"/>
      <c r="V7" s="527"/>
      <c r="W7" s="527"/>
      <c r="X7" s="527"/>
    </row>
    <row r="8" spans="2:33" x14ac:dyDescent="0.25">
      <c r="B8" s="222"/>
      <c r="C8" s="43"/>
      <c r="D8" s="43"/>
      <c r="E8" s="43"/>
      <c r="F8" s="43"/>
      <c r="G8" s="583"/>
      <c r="H8" s="272"/>
      <c r="I8" s="251"/>
      <c r="K8" s="229"/>
      <c r="L8" s="229"/>
      <c r="M8" s="583"/>
      <c r="N8" s="550"/>
      <c r="O8" s="550"/>
      <c r="P8" s="551"/>
      <c r="R8" s="522"/>
      <c r="S8" s="522"/>
      <c r="T8" s="522"/>
      <c r="U8" s="522"/>
      <c r="V8" s="522"/>
      <c r="W8" s="522"/>
      <c r="X8" s="522"/>
    </row>
    <row r="9" spans="2:33" x14ac:dyDescent="0.25">
      <c r="B9" s="225" t="s">
        <v>285</v>
      </c>
      <c r="C9" s="226"/>
      <c r="D9" s="279"/>
      <c r="E9" s="279"/>
      <c r="F9" s="279"/>
      <c r="G9" s="584"/>
      <c r="H9" s="273"/>
      <c r="I9" s="208"/>
      <c r="K9" s="227"/>
      <c r="L9" s="227"/>
      <c r="M9" s="591"/>
      <c r="N9" s="552"/>
      <c r="O9" s="552"/>
      <c r="P9" s="553"/>
      <c r="R9" s="522"/>
      <c r="S9" s="522"/>
      <c r="T9" s="522"/>
      <c r="U9" s="522"/>
      <c r="V9" s="522"/>
      <c r="W9" s="522"/>
      <c r="X9" s="522"/>
    </row>
    <row r="10" spans="2:33" x14ac:dyDescent="0.25">
      <c r="B10" s="220"/>
      <c r="C10" s="161" t="s">
        <v>286</v>
      </c>
      <c r="D10" s="161" t="s">
        <v>376</v>
      </c>
      <c r="E10" s="161" t="s">
        <v>376</v>
      </c>
      <c r="F10" s="161"/>
      <c r="G10" s="549"/>
      <c r="H10" s="297"/>
      <c r="I10" s="298"/>
      <c r="K10" s="291"/>
      <c r="L10" s="213">
        <f>SUMPRODUCT(R$5:X$5,R10:X10)/Thousands</f>
        <v>74.575522539301843</v>
      </c>
      <c r="M10" s="533"/>
      <c r="N10" s="533">
        <v>0</v>
      </c>
      <c r="O10" s="534"/>
      <c r="P10" s="548">
        <f>SUM(K10:O10)</f>
        <v>74.575522539301843</v>
      </c>
      <c r="Q10" s="277"/>
      <c r="R10" s="519">
        <v>412.05263157894734</v>
      </c>
      <c r="S10" s="519">
        <v>32</v>
      </c>
      <c r="T10" s="519">
        <v>16</v>
      </c>
      <c r="U10" s="519">
        <v>8</v>
      </c>
      <c r="V10" s="519"/>
      <c r="W10" s="519"/>
      <c r="X10" s="519"/>
      <c r="Y10" s="14">
        <f>SUM(R10:X10)</f>
        <v>468.05263157894734</v>
      </c>
      <c r="AA10" s="15"/>
      <c r="AB10" s="15"/>
      <c r="AC10" s="15"/>
      <c r="AD10" s="15"/>
      <c r="AE10" s="15"/>
      <c r="AF10" s="15"/>
      <c r="AG10" s="15"/>
    </row>
    <row r="11" spans="2:33" x14ac:dyDescent="0.25">
      <c r="B11" s="220"/>
      <c r="C11" s="161" t="s">
        <v>287</v>
      </c>
      <c r="D11" s="161" t="s">
        <v>376</v>
      </c>
      <c r="E11" s="161" t="s">
        <v>376</v>
      </c>
      <c r="F11" s="161"/>
      <c r="G11" s="549"/>
      <c r="H11" s="297"/>
      <c r="I11" s="298"/>
      <c r="K11" s="291"/>
      <c r="L11" s="213">
        <f>SUMPRODUCT(R$5:X$5,R11:X11)/Thousands</f>
        <v>521.83683972340157</v>
      </c>
      <c r="M11" s="533"/>
      <c r="N11" s="525">
        <v>0</v>
      </c>
      <c r="O11" s="534"/>
      <c r="P11" s="548">
        <f>SUM(K11:O11)</f>
        <v>521.83683972340157</v>
      </c>
      <c r="Q11" s="277"/>
      <c r="R11" s="519">
        <v>252.31578947368422</v>
      </c>
      <c r="S11" s="519"/>
      <c r="T11" s="519">
        <v>887.27272727272725</v>
      </c>
      <c r="U11" s="519">
        <v>96</v>
      </c>
      <c r="V11" s="519">
        <v>501.94736842105266</v>
      </c>
      <c r="W11" s="519">
        <v>1440</v>
      </c>
      <c r="X11" s="519"/>
      <c r="Y11" s="14">
        <f>SUM(R11:X11)</f>
        <v>3177.5358851674641</v>
      </c>
      <c r="AA11" s="15"/>
      <c r="AB11" s="15"/>
      <c r="AC11" s="15"/>
      <c r="AD11" s="15"/>
      <c r="AE11" s="15"/>
      <c r="AF11" s="15"/>
      <c r="AG11" s="15"/>
    </row>
    <row r="12" spans="2:33" x14ac:dyDescent="0.25">
      <c r="B12" s="220"/>
      <c r="C12" s="161" t="s">
        <v>320</v>
      </c>
      <c r="D12" s="161" t="s">
        <v>376</v>
      </c>
      <c r="E12" s="161" t="s">
        <v>376</v>
      </c>
      <c r="F12" s="161"/>
      <c r="G12" s="549"/>
      <c r="H12" s="297"/>
      <c r="I12" s="298"/>
      <c r="K12" s="291"/>
      <c r="L12" s="213">
        <f>SUMPRODUCT(R$5:X$5,R12:X12)/Thousands</f>
        <v>326.50768367408494</v>
      </c>
      <c r="M12" s="533"/>
      <c r="N12" s="533">
        <v>0</v>
      </c>
      <c r="O12" s="534"/>
      <c r="P12" s="548">
        <f>SUM(K12:O12)</f>
        <v>326.50768367408494</v>
      </c>
      <c r="Q12" s="277"/>
      <c r="R12" s="519"/>
      <c r="S12" s="519"/>
      <c r="T12" s="519">
        <v>246.76363636363635</v>
      </c>
      <c r="U12" s="519"/>
      <c r="V12" s="519">
        <v>535.73684210526312</v>
      </c>
      <c r="W12" s="519">
        <v>164.84210526315789</v>
      </c>
      <c r="X12" s="519">
        <v>1327.9680000000001</v>
      </c>
      <c r="Y12" s="14">
        <f>SUM(R12:X12)</f>
        <v>2275.3105837320572</v>
      </c>
      <c r="AA12" s="15"/>
      <c r="AB12" s="15"/>
      <c r="AC12" s="15"/>
      <c r="AD12" s="15"/>
      <c r="AE12" s="15"/>
      <c r="AF12" s="15"/>
      <c r="AG12" s="15"/>
    </row>
    <row r="13" spans="2:33" x14ac:dyDescent="0.25">
      <c r="B13" s="220"/>
      <c r="C13" s="161" t="s">
        <v>288</v>
      </c>
      <c r="D13" s="161" t="s">
        <v>376</v>
      </c>
      <c r="E13" s="161" t="s">
        <v>376</v>
      </c>
      <c r="F13" s="161"/>
      <c r="G13" s="549"/>
      <c r="H13" s="297"/>
      <c r="I13" s="298"/>
      <c r="K13" s="291"/>
      <c r="L13" s="213">
        <f>SUMPRODUCT(R$5:X$5,R13:X13)/Thousands</f>
        <v>130.31117643442087</v>
      </c>
      <c r="M13" s="533"/>
      <c r="N13" s="533">
        <v>0</v>
      </c>
      <c r="O13" s="534"/>
      <c r="P13" s="548">
        <f>SUM(K13:O13)</f>
        <v>130.31117643442087</v>
      </c>
      <c r="Q13" s="277"/>
      <c r="R13" s="519">
        <v>0</v>
      </c>
      <c r="S13" s="519">
        <v>0</v>
      </c>
      <c r="T13" s="519">
        <v>757.57575757575762</v>
      </c>
      <c r="U13" s="519">
        <v>0</v>
      </c>
      <c r="V13" s="519">
        <v>0</v>
      </c>
      <c r="W13" s="519">
        <v>0</v>
      </c>
      <c r="X13" s="519">
        <v>0</v>
      </c>
      <c r="Y13" s="14">
        <f>SUM(R13:X13)</f>
        <v>757.57575757575762</v>
      </c>
      <c r="AA13" s="15"/>
      <c r="AB13" s="15"/>
      <c r="AC13" s="15"/>
      <c r="AD13" s="15"/>
      <c r="AE13" s="15"/>
      <c r="AF13" s="15"/>
      <c r="AG13" s="15"/>
    </row>
    <row r="14" spans="2:33" x14ac:dyDescent="0.25">
      <c r="B14" s="222"/>
      <c r="C14" s="43"/>
      <c r="D14" s="43"/>
      <c r="E14" s="43"/>
      <c r="F14" s="43"/>
      <c r="G14" s="583"/>
      <c r="H14" s="228"/>
      <c r="I14" s="251"/>
      <c r="K14" s="232"/>
      <c r="L14" s="233"/>
      <c r="M14" s="233"/>
      <c r="N14" s="554"/>
      <c r="O14" s="233"/>
      <c r="P14" s="555"/>
      <c r="R14" s="522"/>
      <c r="S14" s="522"/>
      <c r="T14" s="522"/>
      <c r="U14" s="522"/>
      <c r="V14" s="522"/>
      <c r="W14" s="522"/>
      <c r="X14" s="522"/>
    </row>
    <row r="15" spans="2:33" x14ac:dyDescent="0.25">
      <c r="B15" s="225" t="s">
        <v>277</v>
      </c>
      <c r="C15" s="226"/>
      <c r="D15" s="279"/>
      <c r="E15" s="279"/>
      <c r="F15" s="279"/>
      <c r="G15" s="585"/>
      <c r="H15" s="236"/>
      <c r="I15" s="231"/>
      <c r="K15" s="237"/>
      <c r="L15" s="237"/>
      <c r="M15" s="556"/>
      <c r="N15" s="557"/>
      <c r="O15" s="557"/>
      <c r="P15" s="558"/>
      <c r="Q15" s="278"/>
      <c r="R15" s="523"/>
      <c r="S15" s="522"/>
      <c r="T15" s="522"/>
      <c r="U15" s="522"/>
      <c r="V15" s="522"/>
      <c r="W15" s="522"/>
      <c r="X15" s="522"/>
      <c r="AA15" s="28"/>
      <c r="AB15" s="28"/>
      <c r="AC15" s="28"/>
      <c r="AD15" s="28"/>
      <c r="AE15" s="28"/>
      <c r="AF15" s="28"/>
      <c r="AG15" s="28"/>
    </row>
    <row r="16" spans="2:33" x14ac:dyDescent="0.25">
      <c r="B16" s="239" t="s">
        <v>279</v>
      </c>
      <c r="C16" s="161"/>
      <c r="D16" s="161"/>
      <c r="E16" s="161"/>
      <c r="F16" s="161"/>
      <c r="G16" s="570"/>
      <c r="H16" s="220"/>
      <c r="I16" s="212"/>
      <c r="J16" s="147"/>
      <c r="K16" s="213"/>
      <c r="L16" s="213"/>
      <c r="M16" s="531"/>
      <c r="N16" s="531"/>
      <c r="O16" s="531"/>
      <c r="P16" s="559"/>
      <c r="R16" s="522"/>
      <c r="S16" s="522"/>
      <c r="T16" s="522"/>
      <c r="U16" s="522"/>
      <c r="V16" s="522"/>
      <c r="W16" s="522"/>
      <c r="X16" s="522"/>
      <c r="AA16" s="28"/>
      <c r="AB16" s="28"/>
      <c r="AC16" s="28"/>
      <c r="AD16" s="28"/>
      <c r="AE16" s="28"/>
      <c r="AF16" s="28"/>
      <c r="AG16" s="28"/>
    </row>
    <row r="17" spans="2:33" x14ac:dyDescent="0.25">
      <c r="B17" s="220"/>
      <c r="C17" s="161" t="s">
        <v>322</v>
      </c>
      <c r="D17" s="161" t="str">
        <f>INDEX(Unit_Rates!$C$7:$K$59,MATCH($C17,Unit_Rates!$C$7:$C$59,0),5)</f>
        <v>Subtransmission</v>
      </c>
      <c r="E17" s="161" t="str">
        <f>INDEX(Unit_Rates!$C$7:$K$59,MATCH($C17,Unit_Rates!$C$7:$C$59,0),6)</f>
        <v>Augmentation</v>
      </c>
      <c r="F17" s="161" t="str">
        <f>D17&amp;E17</f>
        <v>SubtransmissionAugmentation</v>
      </c>
      <c r="G17" s="271">
        <f>INDEX(Unit_Rates!$C$7:$K$59,MATCH($C17,Unit_Rates!$C$7:$C$59,0),7)</f>
        <v>68.506065486725646</v>
      </c>
      <c r="H17" s="518"/>
      <c r="I17" s="252" t="s">
        <v>308</v>
      </c>
      <c r="J17" s="147"/>
      <c r="K17" s="214">
        <f>G17*$H17</f>
        <v>0</v>
      </c>
      <c r="L17" s="286">
        <f t="shared" ref="L17:L42" si="0">SUMPRODUCT(R$5:X$5,R17:X17)/Thousands</f>
        <v>0</v>
      </c>
      <c r="M17" s="560"/>
      <c r="N17" s="739"/>
      <c r="O17" s="739"/>
      <c r="P17" s="740"/>
      <c r="Q17" s="317"/>
      <c r="R17" s="519">
        <v>0</v>
      </c>
      <c r="S17" s="519">
        <v>0</v>
      </c>
      <c r="T17" s="519">
        <v>0</v>
      </c>
      <c r="U17" s="519">
        <v>0</v>
      </c>
      <c r="V17" s="519">
        <v>0</v>
      </c>
      <c r="W17" s="519">
        <v>0</v>
      </c>
      <c r="X17" s="519">
        <v>0</v>
      </c>
      <c r="Y17" s="14">
        <f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25">
      <c r="B18" s="220"/>
      <c r="C18" s="224" t="s">
        <v>345</v>
      </c>
      <c r="D18" s="161" t="str">
        <f>INDEX(Unit_Rates!$C$7:$K$59,MATCH($C18,Unit_Rates!$C$7:$C$59,0),5)</f>
        <v>Subtransmission</v>
      </c>
      <c r="E18" s="161" t="str">
        <f>INDEX(Unit_Rates!$C$7:$K$59,MATCH($C18,Unit_Rates!$C$7:$C$59,0),6)</f>
        <v>Augmentation</v>
      </c>
      <c r="F18" s="161" t="str">
        <f t="shared" ref="F18:F44" si="1">D18&amp;E18</f>
        <v>SubtransmissionAugmentation</v>
      </c>
      <c r="G18" s="271">
        <f>INDEX(Unit_Rates!$C$7:$K$59,MATCH($C18,Unit_Rates!$C$7:$C$59,0),7)</f>
        <v>106.43774159292033</v>
      </c>
      <c r="H18" s="518">
        <v>2</v>
      </c>
      <c r="I18" s="252" t="s">
        <v>308</v>
      </c>
      <c r="J18" s="147"/>
      <c r="K18" s="214">
        <f>G18*$H18</f>
        <v>212.87548318584066</v>
      </c>
      <c r="L18" s="286">
        <f t="shared" si="0"/>
        <v>0</v>
      </c>
      <c r="M18" s="560"/>
      <c r="N18" s="739"/>
      <c r="O18" s="739"/>
      <c r="P18" s="740"/>
      <c r="Q18" s="317"/>
      <c r="R18" s="519">
        <v>0</v>
      </c>
      <c r="S18" s="519">
        <v>0</v>
      </c>
      <c r="T18" s="519">
        <v>0</v>
      </c>
      <c r="U18" s="519">
        <v>0</v>
      </c>
      <c r="V18" s="519">
        <v>0</v>
      </c>
      <c r="W18" s="519">
        <v>0</v>
      </c>
      <c r="X18" s="519">
        <v>0</v>
      </c>
      <c r="Y18" s="14">
        <f t="shared" ref="Y18:Y42" si="2">SUM(R18:X18)</f>
        <v>0</v>
      </c>
      <c r="AA18" s="28"/>
      <c r="AB18" s="28"/>
      <c r="AC18" s="28"/>
      <c r="AD18" s="28"/>
      <c r="AE18" s="28"/>
      <c r="AF18" s="28"/>
      <c r="AG18" s="28"/>
    </row>
    <row r="19" spans="2:33" x14ac:dyDescent="0.25">
      <c r="B19" s="220"/>
      <c r="C19" s="224" t="s">
        <v>486</v>
      </c>
      <c r="D19" t="str">
        <f>D18</f>
        <v>Subtransmission</v>
      </c>
      <c r="E19" t="str">
        <f>E18</f>
        <v>Augmentation</v>
      </c>
      <c r="F19" t="str">
        <f t="shared" si="1"/>
        <v>SubtransmissionAugmentation</v>
      </c>
      <c r="G19" s="271">
        <f>INDEX(Unit_Rates!$C$7:$K$59,MATCH($C19,Unit_Rates!$C$7:$C$59,0),7)</f>
        <v>37.069442477876102</v>
      </c>
      <c r="H19" s="518">
        <v>1</v>
      </c>
      <c r="I19" s="266" t="s">
        <v>308</v>
      </c>
      <c r="J19" s="267"/>
      <c r="K19" s="285">
        <f>G19*$H19</f>
        <v>37.069442477876102</v>
      </c>
      <c r="L19" s="285">
        <f t="shared" si="0"/>
        <v>0</v>
      </c>
      <c r="M19" s="592"/>
      <c r="N19" s="739"/>
      <c r="O19" s="739"/>
      <c r="P19" s="746"/>
      <c r="Q19" s="317"/>
      <c r="R19" s="519">
        <v>0</v>
      </c>
      <c r="S19" s="519">
        <v>0</v>
      </c>
      <c r="T19" s="519">
        <v>0</v>
      </c>
      <c r="U19" s="519">
        <v>0</v>
      </c>
      <c r="V19" s="519">
        <v>0</v>
      </c>
      <c r="W19" s="519">
        <v>0</v>
      </c>
      <c r="X19" s="519">
        <v>0</v>
      </c>
      <c r="Y19" s="14">
        <f t="shared" si="2"/>
        <v>0</v>
      </c>
    </row>
    <row r="20" spans="2:33" x14ac:dyDescent="0.25">
      <c r="B20" s="220"/>
      <c r="C20" s="224" t="s">
        <v>487</v>
      </c>
      <c r="D20" s="161" t="str">
        <f>INDEX(Unit_Rates!$C$7:$K$59,MATCH($C20,Unit_Rates!$C$7:$C$59,0),5)</f>
        <v>Subtransmission</v>
      </c>
      <c r="E20" s="161" t="str">
        <f>INDEX(Unit_Rates!$C$7:$K$59,MATCH($C20,Unit_Rates!$C$7:$C$59,0),6)</f>
        <v>Augmentation</v>
      </c>
      <c r="F20" s="161" t="str">
        <f t="shared" si="1"/>
        <v>SubtransmissionAugmentation</v>
      </c>
      <c r="G20" s="271">
        <f>INDEX(Unit_Rates!$C$7:$K$59,MATCH($C20,Unit_Rates!$C$7:$C$59,0),7)</f>
        <v>40.541017699115038</v>
      </c>
      <c r="H20" s="518">
        <v>1</v>
      </c>
      <c r="I20" s="252" t="s">
        <v>308</v>
      </c>
      <c r="J20" s="147"/>
      <c r="K20" s="214">
        <f>G20*H20</f>
        <v>40.541017699115038</v>
      </c>
      <c r="L20" s="286">
        <f t="shared" si="0"/>
        <v>0</v>
      </c>
      <c r="M20" s="560"/>
      <c r="N20" s="739"/>
      <c r="O20" s="739"/>
      <c r="P20" s="740"/>
      <c r="Q20" s="317"/>
      <c r="R20" s="519">
        <v>0</v>
      </c>
      <c r="S20" s="519">
        <v>0</v>
      </c>
      <c r="T20" s="519">
        <v>0</v>
      </c>
      <c r="U20" s="519">
        <v>0</v>
      </c>
      <c r="V20" s="519">
        <v>0</v>
      </c>
      <c r="W20" s="519">
        <v>0</v>
      </c>
      <c r="X20" s="519">
        <v>0</v>
      </c>
      <c r="Y20" s="14">
        <f t="shared" si="2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25">
      <c r="B21" s="220"/>
      <c r="C21" s="224" t="s">
        <v>382</v>
      </c>
      <c r="D21" s="161" t="str">
        <f>INDEX(Unit_Rates!$C$7:$K$59,MATCH($C21,Unit_Rates!$C$7:$C$59,0),5)</f>
        <v>Subtransmission</v>
      </c>
      <c r="E21" s="161" t="str">
        <f>INDEX(Unit_Rates!$C$7:$K$59,MATCH($C21,Unit_Rates!$C$7:$C$59,0),6)</f>
        <v>Augmentation</v>
      </c>
      <c r="F21" s="161" t="str">
        <f>D21&amp;E21</f>
        <v>SubtransmissionAugmentation</v>
      </c>
      <c r="G21" s="271">
        <f>INDEX(Unit_Rates!$C$7:$K$59,MATCH($C21,Unit_Rates!$C$7:$C$59,0),7)</f>
        <v>0</v>
      </c>
      <c r="H21" s="518"/>
      <c r="I21" s="252" t="s">
        <v>308</v>
      </c>
      <c r="J21" s="147"/>
      <c r="K21" s="214">
        <f>G21*H21</f>
        <v>0</v>
      </c>
      <c r="L21" s="286">
        <f t="shared" si="0"/>
        <v>0</v>
      </c>
      <c r="M21" s="560"/>
      <c r="N21" s="739"/>
      <c r="O21" s="739"/>
      <c r="P21" s="740"/>
      <c r="Q21" s="317"/>
      <c r="R21" s="519">
        <v>0</v>
      </c>
      <c r="S21" s="519">
        <v>0</v>
      </c>
      <c r="T21" s="519">
        <v>0</v>
      </c>
      <c r="U21" s="519">
        <v>0</v>
      </c>
      <c r="V21" s="519">
        <v>0</v>
      </c>
      <c r="W21" s="519">
        <v>0</v>
      </c>
      <c r="X21" s="519">
        <v>0</v>
      </c>
      <c r="Y21" s="14">
        <f t="shared" si="2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25">
      <c r="B22" s="220"/>
      <c r="C22" s="224" t="s">
        <v>282</v>
      </c>
      <c r="D22" s="161" t="str">
        <f>INDEX(Unit_Rates!$C$7:$K$59,MATCH($C22,Unit_Rates!$C$7:$C$59,0),5)</f>
        <v>SCADA/Network control</v>
      </c>
      <c r="E22" s="161" t="str">
        <f>INDEX(Unit_Rates!$C$7:$K$59,MATCH($C22,Unit_Rates!$C$7:$C$59,0),6)</f>
        <v>Augmentation</v>
      </c>
      <c r="F22" s="161" t="str">
        <f t="shared" si="1"/>
        <v>SCADA/Network controlAugmentation</v>
      </c>
      <c r="G22" s="271">
        <f>INDEX(Unit_Rates!$C$7:$K$59,MATCH($C22,Unit_Rates!$C$7:$C$59,0),7)</f>
        <v>1092.6971681415926</v>
      </c>
      <c r="H22" s="518">
        <v>1</v>
      </c>
      <c r="I22" s="252" t="s">
        <v>308</v>
      </c>
      <c r="J22" s="147"/>
      <c r="K22" s="214">
        <f>G22*H22</f>
        <v>1092.6971681415926</v>
      </c>
      <c r="L22" s="286">
        <f t="shared" si="0"/>
        <v>0</v>
      </c>
      <c r="M22" s="560"/>
      <c r="N22" s="739"/>
      <c r="O22" s="739"/>
      <c r="P22" s="740"/>
      <c r="Q22" s="317"/>
      <c r="R22" s="519">
        <v>0</v>
      </c>
      <c r="S22" s="519">
        <v>0</v>
      </c>
      <c r="T22" s="519">
        <v>0</v>
      </c>
      <c r="U22" s="519">
        <v>0</v>
      </c>
      <c r="V22" s="519">
        <v>0</v>
      </c>
      <c r="W22" s="519">
        <v>0</v>
      </c>
      <c r="X22" s="519">
        <v>0</v>
      </c>
      <c r="Y22" s="14">
        <f t="shared" si="2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25">
      <c r="B23" s="220"/>
      <c r="C23" s="224" t="s">
        <v>324</v>
      </c>
      <c r="D23" s="161" t="str">
        <f>INDEX(Unit_Rates!$C$7:$K$59,MATCH($C23,Unit_Rates!$C$7:$C$59,0),5)</f>
        <v>Subtransmission</v>
      </c>
      <c r="E23" s="161" t="str">
        <f>INDEX(Unit_Rates!$C$7:$K$59,MATCH($C23,Unit_Rates!$C$7:$C$59,0),6)</f>
        <v>Augmentation</v>
      </c>
      <c r="F23" s="161" t="str">
        <f t="shared" si="1"/>
        <v>SubtransmissionAugmentation</v>
      </c>
      <c r="G23" s="271">
        <f>INDEX(Unit_Rates!$C$7:$K$59,MATCH($C23,Unit_Rates!$C$7:$C$59,0),7)</f>
        <v>0</v>
      </c>
      <c r="H23" s="518">
        <v>1</v>
      </c>
      <c r="I23" s="252" t="s">
        <v>308</v>
      </c>
      <c r="J23" s="147"/>
      <c r="K23" s="214">
        <f>G23*H23</f>
        <v>0</v>
      </c>
      <c r="L23" s="286">
        <f t="shared" si="0"/>
        <v>0</v>
      </c>
      <c r="M23" s="560"/>
      <c r="N23" s="739"/>
      <c r="O23" s="739"/>
      <c r="P23" s="740"/>
      <c r="Q23" s="317"/>
      <c r="R23" s="519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14">
        <f t="shared" si="2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25">
      <c r="B24" s="220"/>
      <c r="C24" s="224" t="s">
        <v>296</v>
      </c>
      <c r="D24" s="161" t="str">
        <f>INDEX(Unit_Rates!$C$7:$K$59,MATCH($C24,Unit_Rates!$C$7:$C$59,0),5)</f>
        <v>Subtransmission</v>
      </c>
      <c r="E24" s="161" t="str">
        <f>INDEX(Unit_Rates!$C$7:$K$59,MATCH($C24,Unit_Rates!$C$7:$C$59,0),6)</f>
        <v>Augmentation</v>
      </c>
      <c r="F24" s="161" t="str">
        <f t="shared" si="1"/>
        <v>SubtransmissionAugmentation</v>
      </c>
      <c r="G24" s="271">
        <f>INDEX(Unit_Rates!$C$7:$K$59,MATCH($C24,Unit_Rates!$C$7:$C$59,0),7)</f>
        <v>1277.3132743362828</v>
      </c>
      <c r="H24" s="518"/>
      <c r="I24" s="252" t="s">
        <v>308</v>
      </c>
      <c r="J24" s="147"/>
      <c r="K24" s="214">
        <f t="shared" ref="K24:K42" si="3">G24*H24</f>
        <v>0</v>
      </c>
      <c r="L24" s="286">
        <f t="shared" si="0"/>
        <v>0</v>
      </c>
      <c r="M24" s="560"/>
      <c r="N24" s="739"/>
      <c r="O24" s="739"/>
      <c r="P24" s="740"/>
      <c r="Q24" s="317"/>
      <c r="R24" s="519">
        <v>0</v>
      </c>
      <c r="S24" s="519">
        <v>0</v>
      </c>
      <c r="T24" s="519">
        <v>0</v>
      </c>
      <c r="U24" s="519">
        <v>0</v>
      </c>
      <c r="V24" s="519">
        <v>0</v>
      </c>
      <c r="W24" s="519">
        <v>0</v>
      </c>
      <c r="X24" s="519">
        <v>0</v>
      </c>
      <c r="Y24" s="14">
        <f t="shared" si="2"/>
        <v>0</v>
      </c>
    </row>
    <row r="25" spans="2:33" x14ac:dyDescent="0.25">
      <c r="B25" s="220"/>
      <c r="C25" s="224" t="s">
        <v>295</v>
      </c>
      <c r="D25" s="161" t="str">
        <f>INDEX(Unit_Rates!$C$7:$K$59,MATCH($C25,Unit_Rates!$C$7:$C$59,0),5)</f>
        <v>Subtransmission</v>
      </c>
      <c r="E25" s="161" t="str">
        <f>INDEX(Unit_Rates!$C$7:$K$59,MATCH($C25,Unit_Rates!$C$7:$C$59,0),6)</f>
        <v>Augmentation</v>
      </c>
      <c r="F25" s="161" t="str">
        <f t="shared" si="1"/>
        <v>SubtransmissionAugmentation</v>
      </c>
      <c r="G25" s="271">
        <f>INDEX(Unit_Rates!$C$7:$K$59,MATCH($C25,Unit_Rates!$C$7:$C$59,0),7)</f>
        <v>1378.3627906976742</v>
      </c>
      <c r="H25" s="518"/>
      <c r="I25" s="252" t="s">
        <v>308</v>
      </c>
      <c r="J25" s="147"/>
      <c r="K25" s="214">
        <f t="shared" si="3"/>
        <v>0</v>
      </c>
      <c r="L25" s="286">
        <f t="shared" si="0"/>
        <v>0</v>
      </c>
      <c r="M25" s="560"/>
      <c r="N25" s="739"/>
      <c r="O25" s="739"/>
      <c r="P25" s="740"/>
      <c r="Q25" s="317"/>
      <c r="R25" s="519">
        <v>0</v>
      </c>
      <c r="S25" s="519">
        <v>0</v>
      </c>
      <c r="T25" s="519">
        <v>0</v>
      </c>
      <c r="U25" s="519">
        <v>0</v>
      </c>
      <c r="V25" s="519">
        <v>0</v>
      </c>
      <c r="W25" s="519">
        <v>0</v>
      </c>
      <c r="X25" s="519">
        <v>0</v>
      </c>
      <c r="Y25" s="14">
        <f t="shared" si="2"/>
        <v>0</v>
      </c>
    </row>
    <row r="26" spans="2:33" x14ac:dyDescent="0.25">
      <c r="B26" s="220"/>
      <c r="C26" s="224" t="s">
        <v>661</v>
      </c>
      <c r="D26" s="161" t="str">
        <f>INDEX(Unit_Rates!$C$7:$K$59,MATCH($C26,Unit_Rates!$C$7:$C$59,0),5)</f>
        <v>Subtransmission</v>
      </c>
      <c r="E26" s="161" t="str">
        <f>INDEX(Unit_Rates!$C$7:$K$59,MATCH($C26,Unit_Rates!$C$7:$C$59,0),6)</f>
        <v>Augmentation</v>
      </c>
      <c r="F26" s="161" t="str">
        <f>D26&amp;E26</f>
        <v>SubtransmissionAugmentation</v>
      </c>
      <c r="G26" s="271">
        <f>INDEX(Unit_Rates!$C$7:$K$59,MATCH($C26,Unit_Rates!$C$7:$C$59,0),7)</f>
        <v>660.35398230088481</v>
      </c>
      <c r="H26" s="518">
        <v>2</v>
      </c>
      <c r="I26" s="252" t="s">
        <v>308</v>
      </c>
      <c r="J26" s="147"/>
      <c r="K26" s="214">
        <f>G26*H26</f>
        <v>1320.7079646017696</v>
      </c>
      <c r="L26" s="286">
        <f>SUMPRODUCT(R$5:X$5,R26:X26)/Thousands</f>
        <v>0</v>
      </c>
      <c r="M26" s="560"/>
      <c r="N26" s="739"/>
      <c r="O26" s="739"/>
      <c r="P26" s="740"/>
      <c r="Q26" s="317"/>
      <c r="R26" s="519">
        <v>0</v>
      </c>
      <c r="S26" s="519">
        <v>0</v>
      </c>
      <c r="T26" s="519">
        <v>0</v>
      </c>
      <c r="U26" s="519">
        <v>0</v>
      </c>
      <c r="V26" s="519">
        <v>0</v>
      </c>
      <c r="W26" s="519">
        <v>0</v>
      </c>
      <c r="X26" s="519">
        <v>0</v>
      </c>
      <c r="Y26" s="14">
        <f>SUM(R26:X26)</f>
        <v>0</v>
      </c>
    </row>
    <row r="27" spans="2:33" x14ac:dyDescent="0.25">
      <c r="B27" s="220"/>
      <c r="C27" s="224" t="s">
        <v>501</v>
      </c>
      <c r="D27" s="161" t="str">
        <f>INDEX(Unit_Rates!$C$7:$K$59,MATCH($C27,Unit_Rates!$C$7:$C$59,0),5)</f>
        <v>Subtransmission</v>
      </c>
      <c r="E27" s="161" t="str">
        <f>INDEX(Unit_Rates!$C$7:$K$59,MATCH($C27,Unit_Rates!$C$7:$C$59,0),6)</f>
        <v>Augmentation</v>
      </c>
      <c r="F27" s="161" t="str">
        <f t="shared" si="1"/>
        <v>SubtransmissionAugmentation</v>
      </c>
      <c r="G27" s="271">
        <f>INDEX(Unit_Rates!$C$7:$K$59,MATCH($C27,Unit_Rates!$C$7:$C$59,0),7)</f>
        <v>86.121892093023249</v>
      </c>
      <c r="H27" s="518"/>
      <c r="I27" s="252" t="s">
        <v>308</v>
      </c>
      <c r="J27" s="147"/>
      <c r="K27" s="214">
        <f t="shared" si="3"/>
        <v>0</v>
      </c>
      <c r="L27" s="286">
        <f t="shared" si="0"/>
        <v>0</v>
      </c>
      <c r="M27" s="560"/>
      <c r="N27" s="739"/>
      <c r="O27" s="739"/>
      <c r="P27" s="740"/>
      <c r="Q27" s="317"/>
      <c r="R27" s="519">
        <v>0</v>
      </c>
      <c r="S27" s="519">
        <v>0</v>
      </c>
      <c r="T27" s="519">
        <v>0</v>
      </c>
      <c r="U27" s="519">
        <v>0</v>
      </c>
      <c r="V27" s="519">
        <v>0</v>
      </c>
      <c r="W27" s="519">
        <v>0</v>
      </c>
      <c r="X27" s="519">
        <v>0</v>
      </c>
      <c r="Y27" s="14">
        <f t="shared" si="2"/>
        <v>0</v>
      </c>
    </row>
    <row r="28" spans="2:33" x14ac:dyDescent="0.25">
      <c r="B28" s="220"/>
      <c r="C28" s="224" t="s">
        <v>383</v>
      </c>
      <c r="D28" s="161" t="str">
        <f>INDEX(Unit_Rates!$C$7:$K$59,MATCH($C28,Unit_Rates!$C$7:$C$59,0),5)</f>
        <v>Subtransmission</v>
      </c>
      <c r="E28" s="161" t="str">
        <f>INDEX(Unit_Rates!$C$7:$K$59,MATCH($C28,Unit_Rates!$C$7:$C$59,0),6)</f>
        <v>Augmentation</v>
      </c>
      <c r="F28" s="161" t="str">
        <f>D28&amp;E28</f>
        <v>SubtransmissionAugmentation</v>
      </c>
      <c r="G28" s="271">
        <f>INDEX(Unit_Rates!$C$7:$K$59,MATCH($C28,Unit_Rates!$C$7:$C$59,0),7)</f>
        <v>0</v>
      </c>
      <c r="H28" s="518"/>
      <c r="I28" s="252" t="s">
        <v>308</v>
      </c>
      <c r="J28" s="147"/>
      <c r="K28" s="214">
        <f>G28*H28</f>
        <v>0</v>
      </c>
      <c r="L28" s="286">
        <f t="shared" si="0"/>
        <v>0</v>
      </c>
      <c r="M28" s="560"/>
      <c r="N28" s="739"/>
      <c r="O28" s="739"/>
      <c r="P28" s="740"/>
      <c r="Q28" s="317"/>
      <c r="R28" s="519">
        <v>0</v>
      </c>
      <c r="S28" s="519">
        <v>0</v>
      </c>
      <c r="T28" s="519">
        <v>0</v>
      </c>
      <c r="U28" s="519">
        <v>0</v>
      </c>
      <c r="V28" s="519">
        <v>0</v>
      </c>
      <c r="W28" s="519">
        <v>0</v>
      </c>
      <c r="X28" s="519">
        <v>0</v>
      </c>
      <c r="Y28" s="14">
        <f t="shared" si="2"/>
        <v>0</v>
      </c>
    </row>
    <row r="29" spans="2:33" x14ac:dyDescent="0.25">
      <c r="B29" s="220"/>
      <c r="C29" s="224" t="s">
        <v>361</v>
      </c>
      <c r="D29" s="161" t="str">
        <f>INDEX(Unit_Rates!$C$7:$K$59,MATCH($C29,Unit_Rates!$C$7:$C$59,0),5)</f>
        <v>Subtransmission</v>
      </c>
      <c r="E29" s="161" t="str">
        <f>INDEX(Unit_Rates!$C$7:$K$59,MATCH($C29,Unit_Rates!$C$7:$C$59,0),6)</f>
        <v>Augmentation</v>
      </c>
      <c r="F29" s="161" t="str">
        <f t="shared" ref="F29:F35" si="4">D29&amp;E29</f>
        <v>SubtransmissionAugmentation</v>
      </c>
      <c r="G29" s="271">
        <f>INDEX(Unit_Rates!$C$7:$K$59,MATCH($C29,Unit_Rates!$C$7:$C$59,0),7)</f>
        <v>100.94548318584069</v>
      </c>
      <c r="H29" s="518"/>
      <c r="I29" s="252" t="s">
        <v>308</v>
      </c>
      <c r="J29" s="147"/>
      <c r="K29" s="214">
        <f t="shared" ref="K29:K35" si="5">G29*H29</f>
        <v>0</v>
      </c>
      <c r="L29" s="286">
        <f t="shared" si="0"/>
        <v>0</v>
      </c>
      <c r="M29" s="560"/>
      <c r="N29" s="739"/>
      <c r="O29" s="739"/>
      <c r="P29" s="740"/>
      <c r="Q29" s="317"/>
      <c r="R29" s="519">
        <v>0</v>
      </c>
      <c r="S29" s="519">
        <v>0</v>
      </c>
      <c r="T29" s="519">
        <v>0</v>
      </c>
      <c r="U29" s="519">
        <v>0</v>
      </c>
      <c r="V29" s="519">
        <v>0</v>
      </c>
      <c r="W29" s="519">
        <v>0</v>
      </c>
      <c r="X29" s="519">
        <v>0</v>
      </c>
      <c r="Y29" s="14">
        <f t="shared" si="2"/>
        <v>0</v>
      </c>
    </row>
    <row r="30" spans="2:33" x14ac:dyDescent="0.25">
      <c r="B30" s="220"/>
      <c r="C30" s="224" t="s">
        <v>348</v>
      </c>
      <c r="D30" s="161" t="str">
        <f>INDEX(Unit_Rates!$C$7:$K$59,MATCH($C30,Unit_Rates!$C$7:$C$59,0),5)</f>
        <v>Subtransmission</v>
      </c>
      <c r="E30" s="161" t="str">
        <f>INDEX(Unit_Rates!$C$7:$K$59,MATCH($C30,Unit_Rates!$C$7:$C$59,0),6)</f>
        <v>Augmentation</v>
      </c>
      <c r="F30" s="161" t="str">
        <f t="shared" si="4"/>
        <v>SubtransmissionAugmentation</v>
      </c>
      <c r="G30" s="271">
        <f>INDEX(Unit_Rates!$C$7:$K$59,MATCH($C30,Unit_Rates!$C$7:$C$59,0),7)</f>
        <v>7.2299327433628298</v>
      </c>
      <c r="H30" s="518"/>
      <c r="I30" s="252" t="s">
        <v>308</v>
      </c>
      <c r="J30" s="147"/>
      <c r="K30" s="214">
        <f t="shared" si="5"/>
        <v>0</v>
      </c>
      <c r="L30" s="286">
        <f t="shared" si="0"/>
        <v>0</v>
      </c>
      <c r="M30" s="560"/>
      <c r="N30" s="739"/>
      <c r="O30" s="739"/>
      <c r="P30" s="740"/>
      <c r="Q30" s="317"/>
      <c r="R30" s="519">
        <v>0</v>
      </c>
      <c r="S30" s="519">
        <v>0</v>
      </c>
      <c r="T30" s="519">
        <v>0</v>
      </c>
      <c r="U30" s="519">
        <v>0</v>
      </c>
      <c r="V30" s="519">
        <v>0</v>
      </c>
      <c r="W30" s="519">
        <v>0</v>
      </c>
      <c r="X30" s="519">
        <v>0</v>
      </c>
      <c r="Y30" s="14">
        <f t="shared" si="2"/>
        <v>0</v>
      </c>
    </row>
    <row r="31" spans="2:33" x14ac:dyDescent="0.25">
      <c r="B31" s="220"/>
      <c r="C31" s="224" t="s">
        <v>488</v>
      </c>
      <c r="D31" s="161" t="str">
        <f>INDEX(Unit_Rates!$C$7:$K$59,MATCH($C31,Unit_Rates!$C$7:$C$59,0),5)</f>
        <v>Subtransmission</v>
      </c>
      <c r="E31" s="161" t="str">
        <f>INDEX(Unit_Rates!$C$7:$K$59,MATCH($C31,Unit_Rates!$C$7:$C$59,0),6)</f>
        <v>Augmentation</v>
      </c>
      <c r="F31" s="161" t="str">
        <f t="shared" si="4"/>
        <v>SubtransmissionAugmentation</v>
      </c>
      <c r="G31" s="271">
        <f>INDEX(Unit_Rates!$C$7:$K$59,MATCH($C31,Unit_Rates!$C$7:$C$59,0),7)</f>
        <v>25.624564601769904</v>
      </c>
      <c r="H31" s="518">
        <v>6</v>
      </c>
      <c r="I31" s="252" t="s">
        <v>308</v>
      </c>
      <c r="J31" s="147"/>
      <c r="K31" s="214">
        <f t="shared" si="5"/>
        <v>153.74738761061943</v>
      </c>
      <c r="L31" s="286">
        <f t="shared" si="0"/>
        <v>0</v>
      </c>
      <c r="M31" s="560"/>
      <c r="N31" s="739"/>
      <c r="O31" s="739"/>
      <c r="P31" s="740"/>
      <c r="Q31" s="317"/>
      <c r="R31" s="519">
        <v>0</v>
      </c>
      <c r="S31" s="519">
        <v>0</v>
      </c>
      <c r="T31" s="519">
        <v>0</v>
      </c>
      <c r="U31" s="519">
        <v>0</v>
      </c>
      <c r="V31" s="519">
        <v>0</v>
      </c>
      <c r="W31" s="519">
        <v>0</v>
      </c>
      <c r="X31" s="519">
        <v>0</v>
      </c>
      <c r="Y31" s="14">
        <f t="shared" si="2"/>
        <v>0</v>
      </c>
    </row>
    <row r="32" spans="2:33" x14ac:dyDescent="0.25">
      <c r="B32" s="220"/>
      <c r="C32" s="224" t="s">
        <v>477</v>
      </c>
      <c r="D32" s="161" t="str">
        <f>INDEX(Unit_Rates!$C$7:$K$59,MATCH($C32,Unit_Rates!$C$7:$C$59,0),5)</f>
        <v>Subtransmission</v>
      </c>
      <c r="E32" s="161" t="str">
        <f>INDEX(Unit_Rates!$C$7:$K$59,MATCH($C32,Unit_Rates!$C$7:$C$59,0),6)</f>
        <v>Augmentation</v>
      </c>
      <c r="F32" s="161" t="str">
        <f>D32&amp;E32</f>
        <v>SubtransmissionAugmentation</v>
      </c>
      <c r="G32" s="271">
        <f>INDEX(Unit_Rates!$C$7:$K$59,MATCH($C32,Unit_Rates!$C$7:$C$59,0),7)</f>
        <v>0</v>
      </c>
      <c r="H32" s="518">
        <v>8</v>
      </c>
      <c r="I32" s="252" t="s">
        <v>308</v>
      </c>
      <c r="J32" s="147"/>
      <c r="K32" s="214">
        <f>G32*H32</f>
        <v>0</v>
      </c>
      <c r="L32" s="286">
        <f>SUMPRODUCT(R$5:X$5,R32:X32)/Thousands</f>
        <v>0</v>
      </c>
      <c r="M32" s="560"/>
      <c r="N32" s="739"/>
      <c r="O32" s="739"/>
      <c r="P32" s="740"/>
      <c r="Q32" s="317"/>
      <c r="R32" s="519">
        <v>0</v>
      </c>
      <c r="S32" s="519">
        <v>0</v>
      </c>
      <c r="T32" s="519">
        <v>0</v>
      </c>
      <c r="U32" s="519">
        <v>0</v>
      </c>
      <c r="V32" s="519">
        <v>0</v>
      </c>
      <c r="W32" s="519">
        <v>0</v>
      </c>
      <c r="X32" s="519">
        <v>0</v>
      </c>
      <c r="Y32" s="14">
        <f>SUM(R32:X32)</f>
        <v>0</v>
      </c>
    </row>
    <row r="33" spans="2:25" x14ac:dyDescent="0.25">
      <c r="B33" s="220"/>
      <c r="C33" s="224" t="s">
        <v>349</v>
      </c>
      <c r="D33" s="161" t="str">
        <f>INDEX(Unit_Rates!$C$7:$K$59,MATCH($C33,Unit_Rates!$C$7:$C$59,0),5)</f>
        <v>Subtransmission</v>
      </c>
      <c r="E33" s="161" t="str">
        <f>INDEX(Unit_Rates!$C$7:$K$59,MATCH($C33,Unit_Rates!$C$7:$C$59,0),6)</f>
        <v>Augmentation</v>
      </c>
      <c r="F33" s="161" t="str">
        <f t="shared" si="4"/>
        <v>SubtransmissionAugmentation</v>
      </c>
      <c r="G33" s="271">
        <f>INDEX(Unit_Rates!$C$7:$K$59,MATCH($C33,Unit_Rates!$C$7:$C$59,0),7)</f>
        <v>0</v>
      </c>
      <c r="H33" s="518"/>
      <c r="I33" s="252" t="s">
        <v>308</v>
      </c>
      <c r="J33" s="147"/>
      <c r="K33" s="214">
        <f t="shared" si="5"/>
        <v>0</v>
      </c>
      <c r="L33" s="286">
        <f t="shared" si="0"/>
        <v>0</v>
      </c>
      <c r="M33" s="560"/>
      <c r="N33" s="739"/>
      <c r="O33" s="739"/>
      <c r="P33" s="740"/>
      <c r="Q33" s="317"/>
      <c r="R33" s="519">
        <v>0</v>
      </c>
      <c r="S33" s="519">
        <v>0</v>
      </c>
      <c r="T33" s="519">
        <v>0</v>
      </c>
      <c r="U33" s="519">
        <v>0</v>
      </c>
      <c r="V33" s="519">
        <v>0</v>
      </c>
      <c r="W33" s="519">
        <v>0</v>
      </c>
      <c r="X33" s="519">
        <v>0</v>
      </c>
      <c r="Y33" s="14">
        <f t="shared" si="2"/>
        <v>0</v>
      </c>
    </row>
    <row r="34" spans="2:25" x14ac:dyDescent="0.25">
      <c r="B34" s="220"/>
      <c r="C34" s="224" t="s">
        <v>350</v>
      </c>
      <c r="D34" s="161" t="str">
        <f>INDEX(Unit_Rates!$C$7:$K$59,MATCH($C34,Unit_Rates!$C$7:$C$59,0),5)</f>
        <v>Subtransmission</v>
      </c>
      <c r="E34" s="161" t="str">
        <f>INDEX(Unit_Rates!$C$7:$K$59,MATCH($C34,Unit_Rates!$C$7:$C$59,0),6)</f>
        <v>Augmentation</v>
      </c>
      <c r="F34" s="161" t="str">
        <f t="shared" si="4"/>
        <v>SubtransmissionAugmentation</v>
      </c>
      <c r="G34" s="271">
        <f>INDEX(Unit_Rates!$C$7:$K$59,MATCH($C34,Unit_Rates!$C$7:$C$59,0),7)</f>
        <v>0.58488495575221222</v>
      </c>
      <c r="H34" s="518">
        <v>12</v>
      </c>
      <c r="I34" s="252" t="s">
        <v>308</v>
      </c>
      <c r="J34" s="147"/>
      <c r="K34" s="214">
        <f t="shared" si="5"/>
        <v>7.0186194690265467</v>
      </c>
      <c r="L34" s="286">
        <f t="shared" si="0"/>
        <v>0</v>
      </c>
      <c r="M34" s="560"/>
      <c r="N34" s="739"/>
      <c r="O34" s="739"/>
      <c r="P34" s="740"/>
      <c r="Q34" s="317"/>
      <c r="R34" s="519">
        <v>0</v>
      </c>
      <c r="S34" s="519">
        <v>0</v>
      </c>
      <c r="T34" s="519">
        <v>0</v>
      </c>
      <c r="U34" s="519">
        <v>0</v>
      </c>
      <c r="V34" s="519">
        <v>0</v>
      </c>
      <c r="W34" s="519">
        <v>0</v>
      </c>
      <c r="X34" s="519">
        <v>0</v>
      </c>
      <c r="Y34" s="14">
        <f t="shared" si="2"/>
        <v>0</v>
      </c>
    </row>
    <row r="35" spans="2:25" x14ac:dyDescent="0.25">
      <c r="B35" s="220"/>
      <c r="C35" s="224" t="s">
        <v>479</v>
      </c>
      <c r="D35" s="161" t="str">
        <f>INDEX(Unit_Rates!$C$7:$K$59,MATCH($C35,Unit_Rates!$C$7:$C$59,0),5)</f>
        <v>Subtransmission</v>
      </c>
      <c r="E35" s="161" t="str">
        <f>INDEX(Unit_Rates!$C$7:$K$59,MATCH($C35,Unit_Rates!$C$7:$C$59,0),6)</f>
        <v>Augmentation</v>
      </c>
      <c r="F35" s="161" t="str">
        <f t="shared" si="4"/>
        <v>SubtransmissionAugmentation</v>
      </c>
      <c r="G35" s="271">
        <f>INDEX(Unit_Rates!$C$7:$K$59,MATCH($C35,Unit_Rates!$C$7:$C$59,0),7)</f>
        <v>0</v>
      </c>
      <c r="H35" s="518">
        <v>10</v>
      </c>
      <c r="I35" s="252" t="s">
        <v>308</v>
      </c>
      <c r="J35" s="147"/>
      <c r="K35" s="214">
        <f t="shared" si="5"/>
        <v>0</v>
      </c>
      <c r="L35" s="286">
        <f t="shared" si="0"/>
        <v>0</v>
      </c>
      <c r="M35" s="560"/>
      <c r="N35" s="739"/>
      <c r="O35" s="739"/>
      <c r="P35" s="740"/>
      <c r="Q35" s="317"/>
      <c r="R35" s="519">
        <v>0</v>
      </c>
      <c r="S35" s="519">
        <v>0</v>
      </c>
      <c r="T35" s="519">
        <v>0</v>
      </c>
      <c r="U35" s="519">
        <v>0</v>
      </c>
      <c r="V35" s="519">
        <v>0</v>
      </c>
      <c r="W35" s="519">
        <v>0</v>
      </c>
      <c r="X35" s="519">
        <v>0</v>
      </c>
      <c r="Y35" s="14">
        <f t="shared" si="2"/>
        <v>0</v>
      </c>
    </row>
    <row r="36" spans="2:25" x14ac:dyDescent="0.25">
      <c r="B36" s="220"/>
      <c r="C36" s="224" t="s">
        <v>225</v>
      </c>
      <c r="D36" s="161" t="str">
        <f>INDEX(Unit_Rates!$C$7:$K$59,MATCH($C36,Unit_Rates!$C$7:$C$59,0),5)</f>
        <v>Subtransmission</v>
      </c>
      <c r="E36" s="161" t="str">
        <f>INDEX(Unit_Rates!$C$7:$K$59,MATCH($C36,Unit_Rates!$C$7:$C$59,0),6)</f>
        <v>Augmentation</v>
      </c>
      <c r="F36" s="161" t="str">
        <f t="shared" si="1"/>
        <v>SubtransmissionAugmentation</v>
      </c>
      <c r="G36" s="271">
        <f>INDEX(Unit_Rates!$C$7:$K$59,MATCH($C36,Unit_Rates!$C$7:$C$59,0),7)</f>
        <v>88.538375221238923</v>
      </c>
      <c r="H36" s="518">
        <v>2</v>
      </c>
      <c r="I36" s="252" t="s">
        <v>308</v>
      </c>
      <c r="J36" s="147"/>
      <c r="K36" s="214">
        <f t="shared" si="3"/>
        <v>177.07675044247785</v>
      </c>
      <c r="L36" s="286">
        <f t="shared" si="0"/>
        <v>0</v>
      </c>
      <c r="M36" s="560"/>
      <c r="N36" s="739"/>
      <c r="O36" s="739"/>
      <c r="P36" s="740"/>
      <c r="Q36" s="317"/>
      <c r="R36" s="519">
        <v>0</v>
      </c>
      <c r="S36" s="519">
        <v>0</v>
      </c>
      <c r="T36" s="519">
        <v>0</v>
      </c>
      <c r="U36" s="519">
        <v>0</v>
      </c>
      <c r="V36" s="519">
        <v>0</v>
      </c>
      <c r="W36" s="519">
        <v>0</v>
      </c>
      <c r="X36" s="519">
        <v>0</v>
      </c>
      <c r="Y36" s="14">
        <f t="shared" si="2"/>
        <v>0</v>
      </c>
    </row>
    <row r="37" spans="2:25" x14ac:dyDescent="0.25">
      <c r="B37" s="220"/>
      <c r="C37" s="224" t="s">
        <v>228</v>
      </c>
      <c r="D37" s="161" t="str">
        <f>INDEX(Unit_Rates!$C$7:$K$59,MATCH($C37,Unit_Rates!$C$7:$C$59,0),5)</f>
        <v>Subtransmission</v>
      </c>
      <c r="E37" s="161" t="str">
        <f>INDEX(Unit_Rates!$C$7:$K$59,MATCH($C37,Unit_Rates!$C$7:$C$59,0),6)</f>
        <v>Augmentation</v>
      </c>
      <c r="F37" s="161" t="str">
        <f t="shared" si="1"/>
        <v>SubtransmissionAugmentation</v>
      </c>
      <c r="G37" s="271">
        <f>INDEX(Unit_Rates!$C$7:$K$59,MATCH($C37,Unit_Rates!$C$7:$C$59,0),7)</f>
        <v>0</v>
      </c>
      <c r="H37" s="518"/>
      <c r="I37" s="252" t="s">
        <v>308</v>
      </c>
      <c r="J37" s="147"/>
      <c r="K37" s="214">
        <f t="shared" si="3"/>
        <v>0</v>
      </c>
      <c r="L37" s="286">
        <f t="shared" si="0"/>
        <v>0</v>
      </c>
      <c r="M37" s="560"/>
      <c r="N37" s="739"/>
      <c r="O37" s="739"/>
      <c r="P37" s="740"/>
      <c r="Q37" s="317"/>
      <c r="R37" s="519">
        <v>0</v>
      </c>
      <c r="S37" s="519">
        <v>0</v>
      </c>
      <c r="T37" s="519">
        <v>0</v>
      </c>
      <c r="U37" s="519">
        <v>0</v>
      </c>
      <c r="V37" s="519">
        <v>0</v>
      </c>
      <c r="W37" s="519">
        <v>0</v>
      </c>
      <c r="X37" s="519">
        <v>0</v>
      </c>
      <c r="Y37" s="14">
        <f t="shared" si="2"/>
        <v>0</v>
      </c>
    </row>
    <row r="38" spans="2:25" x14ac:dyDescent="0.25">
      <c r="B38" s="220"/>
      <c r="C38" s="224" t="s">
        <v>374</v>
      </c>
      <c r="D38" s="161" t="str">
        <f>INDEX(Unit_Rates!$C$7:$K$59,MATCH($C38,Unit_Rates!$C$7:$C$59,0),5)</f>
        <v>Subtransmission</v>
      </c>
      <c r="E38" s="161" t="str">
        <f>INDEX(Unit_Rates!$C$7:$K$59,MATCH($C38,Unit_Rates!$C$7:$C$59,0),6)</f>
        <v>Augmentation</v>
      </c>
      <c r="F38" s="161" t="str">
        <f t="shared" si="1"/>
        <v>SubtransmissionAugmentation</v>
      </c>
      <c r="G38" s="271">
        <f>INDEX(Unit_Rates!$C$7:$K$59,MATCH($C38,Unit_Rates!$C$7:$C$59,0),7)</f>
        <v>164.69749581395345</v>
      </c>
      <c r="H38" s="518"/>
      <c r="I38" s="252" t="s">
        <v>308</v>
      </c>
      <c r="J38" s="147"/>
      <c r="K38" s="214">
        <f t="shared" si="3"/>
        <v>0</v>
      </c>
      <c r="L38" s="286">
        <f t="shared" si="0"/>
        <v>0</v>
      </c>
      <c r="M38" s="560"/>
      <c r="N38" s="739"/>
      <c r="O38" s="739"/>
      <c r="P38" s="740"/>
      <c r="Q38" s="317"/>
      <c r="R38" s="519">
        <v>0</v>
      </c>
      <c r="S38" s="519">
        <v>0</v>
      </c>
      <c r="T38" s="519">
        <v>0</v>
      </c>
      <c r="U38" s="519">
        <v>0</v>
      </c>
      <c r="V38" s="519">
        <v>0</v>
      </c>
      <c r="W38" s="519">
        <v>0</v>
      </c>
      <c r="X38" s="519">
        <v>0</v>
      </c>
      <c r="Y38" s="14">
        <f t="shared" si="2"/>
        <v>0</v>
      </c>
    </row>
    <row r="39" spans="2:25" x14ac:dyDescent="0.25">
      <c r="B39" s="220"/>
      <c r="C39" s="224" t="s">
        <v>289</v>
      </c>
      <c r="D39" s="161" t="str">
        <f>INDEX(Unit_Rates!$C$7:$K$59,MATCH($C39,Unit_Rates!$C$7:$C$59,0),5)</f>
        <v>Subtransmission</v>
      </c>
      <c r="E39" s="161" t="str">
        <f>INDEX(Unit_Rates!$C$7:$K$59,MATCH($C39,Unit_Rates!$C$7:$C$59,0),6)</f>
        <v>Augmentation</v>
      </c>
      <c r="F39" s="161" t="str">
        <f t="shared" si="1"/>
        <v>SubtransmissionAugmentation</v>
      </c>
      <c r="G39" s="271">
        <f>INDEX(Unit_Rates!$C$7:$K$59,MATCH($C39,Unit_Rates!$C$7:$C$59,0),7)</f>
        <v>348.13767610619459</v>
      </c>
      <c r="H39" s="518"/>
      <c r="I39" s="252" t="s">
        <v>308</v>
      </c>
      <c r="J39" s="147"/>
      <c r="K39" s="214">
        <f t="shared" si="3"/>
        <v>0</v>
      </c>
      <c r="L39" s="286">
        <f t="shared" si="0"/>
        <v>0</v>
      </c>
      <c r="M39" s="560"/>
      <c r="N39" s="739"/>
      <c r="O39" s="739"/>
      <c r="P39" s="740"/>
      <c r="Q39" s="317"/>
      <c r="R39" s="519">
        <v>0</v>
      </c>
      <c r="S39" s="519">
        <v>0</v>
      </c>
      <c r="T39" s="519">
        <v>0</v>
      </c>
      <c r="U39" s="519">
        <v>0</v>
      </c>
      <c r="V39" s="519">
        <v>0</v>
      </c>
      <c r="W39" s="519">
        <v>0</v>
      </c>
      <c r="X39" s="519">
        <v>0</v>
      </c>
      <c r="Y39" s="14">
        <f t="shared" si="2"/>
        <v>0</v>
      </c>
    </row>
    <row r="40" spans="2:25" x14ac:dyDescent="0.25">
      <c r="B40" s="220"/>
      <c r="C40" s="224" t="s">
        <v>319</v>
      </c>
      <c r="D40" s="161" t="str">
        <f>INDEX(Unit_Rates!$C$7:$K$59,MATCH($C40,Unit_Rates!$C$7:$C$59,0),5)</f>
        <v>Subtransmission</v>
      </c>
      <c r="E40" s="161" t="str">
        <f>INDEX(Unit_Rates!$C$7:$K$59,MATCH($C40,Unit_Rates!$C$7:$C$59,0),6)</f>
        <v>Augmentation</v>
      </c>
      <c r="F40" s="161" t="str">
        <f>D40&amp;E40</f>
        <v>SubtransmissionAugmentation</v>
      </c>
      <c r="G40" s="524">
        <v>0.17147262404295513</v>
      </c>
      <c r="H40" s="518">
        <v>1780</v>
      </c>
      <c r="I40" s="252" t="s">
        <v>334</v>
      </c>
      <c r="J40" s="147"/>
      <c r="K40" s="214">
        <f t="shared" si="3"/>
        <v>305.22127079646015</v>
      </c>
      <c r="L40" s="286">
        <f t="shared" si="0"/>
        <v>0</v>
      </c>
      <c r="M40" s="560"/>
      <c r="N40" s="739"/>
      <c r="O40" s="741"/>
      <c r="P40" s="740"/>
      <c r="Q40" s="277"/>
      <c r="R40" s="519">
        <v>0</v>
      </c>
      <c r="S40" s="519">
        <v>0</v>
      </c>
      <c r="T40" s="519">
        <v>0</v>
      </c>
      <c r="U40" s="519">
        <v>0</v>
      </c>
      <c r="V40" s="519">
        <v>0</v>
      </c>
      <c r="W40" s="519">
        <v>0</v>
      </c>
      <c r="X40" s="519">
        <v>0</v>
      </c>
      <c r="Y40" s="14">
        <f t="shared" si="2"/>
        <v>0</v>
      </c>
    </row>
    <row r="41" spans="2:25" x14ac:dyDescent="0.25">
      <c r="B41" s="220"/>
      <c r="C41" s="224" t="s">
        <v>704</v>
      </c>
      <c r="D41" s="161" t="str">
        <f>INDEX(Unit_Rates!$C$7:$K$59,MATCH($C41,Unit_Rates!$C$7:$C$59,0),5)</f>
        <v>Subtransmission</v>
      </c>
      <c r="E41" s="161" t="str">
        <f>INDEX(Unit_Rates!$C$7:$K$59,MATCH($C41,Unit_Rates!$C$7:$C$59,0),6)</f>
        <v>Augmentation</v>
      </c>
      <c r="F41" s="161" t="str">
        <f>D41&amp;E41</f>
        <v>SubtransmissionAugmentation</v>
      </c>
      <c r="G41" s="696">
        <f>INDEX(Unit_Rates!$C$7:$K$59,MATCH($C41,Unit_Rates!$C$7:$C$59,0),7)</f>
        <v>4.7168141592920348E-2</v>
      </c>
      <c r="H41" s="518">
        <v>1228</v>
      </c>
      <c r="I41" s="252" t="s">
        <v>334</v>
      </c>
      <c r="J41" s="147"/>
      <c r="K41" s="214">
        <f>G41*H41</f>
        <v>57.922477876106186</v>
      </c>
      <c r="L41" s="286">
        <f>SUMPRODUCT(R$5:X$5,R41:X41)/Thousands</f>
        <v>0</v>
      </c>
      <c r="M41" s="560"/>
      <c r="N41" s="739"/>
      <c r="O41" s="739"/>
      <c r="P41" s="740"/>
      <c r="Q41" s="277"/>
      <c r="R41" s="519">
        <v>0</v>
      </c>
      <c r="S41" s="519">
        <v>0</v>
      </c>
      <c r="T41" s="519">
        <v>0</v>
      </c>
      <c r="U41" s="519">
        <v>0</v>
      </c>
      <c r="V41" s="519">
        <v>0</v>
      </c>
      <c r="W41" s="519">
        <v>0</v>
      </c>
      <c r="X41" s="519">
        <v>0</v>
      </c>
      <c r="Y41" s="14">
        <f>SUM(R41:X41)</f>
        <v>0</v>
      </c>
    </row>
    <row r="42" spans="2:25" x14ac:dyDescent="0.25">
      <c r="B42" s="220"/>
      <c r="C42" s="224" t="s">
        <v>77</v>
      </c>
      <c r="D42" s="161" t="s">
        <v>18</v>
      </c>
      <c r="E42" s="161" t="s">
        <v>42</v>
      </c>
      <c r="F42" s="161" t="str">
        <f t="shared" si="1"/>
        <v>SubtransmissionAugmentation</v>
      </c>
      <c r="G42" s="524">
        <v>81.120713274336254</v>
      </c>
      <c r="H42" s="518">
        <v>1</v>
      </c>
      <c r="I42" s="252" t="s">
        <v>308</v>
      </c>
      <c r="J42" s="147"/>
      <c r="K42" s="214">
        <f t="shared" si="3"/>
        <v>81.120713274336254</v>
      </c>
      <c r="L42" s="215">
        <f t="shared" si="0"/>
        <v>0</v>
      </c>
      <c r="M42" s="560"/>
      <c r="N42" s="739"/>
      <c r="O42" s="741"/>
      <c r="P42" s="740"/>
      <c r="Q42" s="277"/>
      <c r="R42" s="519">
        <v>0</v>
      </c>
      <c r="S42" s="519">
        <v>0</v>
      </c>
      <c r="T42" s="519">
        <v>0</v>
      </c>
      <c r="U42" s="519">
        <v>0</v>
      </c>
      <c r="V42" s="519">
        <v>0</v>
      </c>
      <c r="W42" s="519">
        <v>0</v>
      </c>
      <c r="X42" s="519">
        <v>0</v>
      </c>
      <c r="Y42" s="14">
        <f t="shared" si="2"/>
        <v>0</v>
      </c>
    </row>
    <row r="43" spans="2:25" x14ac:dyDescent="0.25">
      <c r="B43" s="220"/>
      <c r="C43" s="224" t="str">
        <f>Unit_Rates!C21</f>
        <v>22kV Capacitor Bank (4 x3 MVAr)</v>
      </c>
      <c r="D43" s="161" t="str">
        <f>INDEX(Unit_Rates!$C$7:$K$59,MATCH($C43,Unit_Rates!$C$7:$C$59,0),5)</f>
        <v>Subtransmission</v>
      </c>
      <c r="E43" s="161" t="str">
        <f>INDEX(Unit_Rates!$C$7:$K$59,MATCH($C43,Unit_Rates!$C$7:$C$59,0),6)</f>
        <v>Augmentation</v>
      </c>
      <c r="F43" s="161" t="str">
        <f t="shared" si="1"/>
        <v>SubtransmissionAugmentation</v>
      </c>
      <c r="G43" s="271">
        <f>INDEX(Unit_Rates!$C$7:$K$59,MATCH($C43,Unit_Rates!$C$7:$C$59,0),7)</f>
        <v>339.16535221238934</v>
      </c>
      <c r="H43" s="518"/>
      <c r="I43" s="252" t="s">
        <v>308</v>
      </c>
      <c r="J43" s="147"/>
      <c r="K43" s="214">
        <f>G43*H43</f>
        <v>0</v>
      </c>
      <c r="L43" s="215">
        <f>SUMPRODUCT(R$5:X$5,R43:X43)/Thousands</f>
        <v>0</v>
      </c>
      <c r="M43" s="560"/>
      <c r="N43" s="739"/>
      <c r="O43" s="739"/>
      <c r="P43" s="740"/>
      <c r="Q43" s="317"/>
      <c r="R43" s="519">
        <v>0</v>
      </c>
      <c r="S43" s="519">
        <v>0</v>
      </c>
      <c r="T43" s="519">
        <v>0</v>
      </c>
      <c r="U43" s="519">
        <v>0</v>
      </c>
      <c r="V43" s="519">
        <v>0</v>
      </c>
      <c r="W43" s="519">
        <v>0</v>
      </c>
      <c r="X43" s="519">
        <v>0</v>
      </c>
      <c r="Y43" s="14">
        <f>SUM(R43:X43)</f>
        <v>0</v>
      </c>
    </row>
    <row r="44" spans="2:25" x14ac:dyDescent="0.25">
      <c r="B44" s="220"/>
      <c r="C44" s="224" t="s">
        <v>653</v>
      </c>
      <c r="D44" s="161" t="str">
        <f>INDEX(Unit_Rates!$C$7:$K$59,MATCH($C44,Unit_Rates!$C$7:$C$59,0),5)</f>
        <v>Subtransmission</v>
      </c>
      <c r="E44" s="161" t="str">
        <f>INDEX(Unit_Rates!$C$7:$K$59,MATCH($C44,Unit_Rates!$C$7:$C$59,0),6)</f>
        <v>Augmentation</v>
      </c>
      <c r="F44" s="161" t="str">
        <f t="shared" si="1"/>
        <v>SubtransmissionAugmentation</v>
      </c>
      <c r="G44" s="271">
        <f>INDEX(Unit_Rates!$C$7:$K$59,MATCH($C44,Unit_Rates!$C$7:$C$59,0),7)</f>
        <v>0</v>
      </c>
      <c r="H44" s="518">
        <v>1</v>
      </c>
      <c r="I44" s="252" t="s">
        <v>308</v>
      </c>
      <c r="J44" s="147"/>
      <c r="K44" s="214">
        <f>G44*H44</f>
        <v>0</v>
      </c>
      <c r="L44" s="215">
        <f>SUMPRODUCT(R$5:X$5,R44:X44)/Thousands</f>
        <v>0</v>
      </c>
      <c r="M44" s="560"/>
      <c r="N44" s="739"/>
      <c r="O44" s="739"/>
      <c r="P44" s="740"/>
      <c r="Q44" s="317"/>
      <c r="R44" s="519">
        <v>0</v>
      </c>
      <c r="S44" s="519">
        <v>0</v>
      </c>
      <c r="T44" s="519">
        <v>0</v>
      </c>
      <c r="U44" s="519">
        <v>0</v>
      </c>
      <c r="V44" s="519">
        <v>0</v>
      </c>
      <c r="W44" s="519">
        <v>0</v>
      </c>
      <c r="X44" s="519">
        <v>0</v>
      </c>
      <c r="Y44" s="14">
        <f>SUM(R44:X44)</f>
        <v>0</v>
      </c>
    </row>
    <row r="45" spans="2:25" x14ac:dyDescent="0.25">
      <c r="B45" s="220"/>
      <c r="C45" s="224"/>
      <c r="D45" s="161"/>
      <c r="E45" s="161"/>
      <c r="F45" s="161"/>
      <c r="G45" s="271"/>
      <c r="H45" s="598"/>
      <c r="I45" s="212"/>
      <c r="J45" s="147"/>
      <c r="K45" s="213"/>
      <c r="L45" s="212"/>
      <c r="M45" s="559"/>
      <c r="N45" s="531"/>
      <c r="O45" s="531"/>
      <c r="P45" s="559"/>
      <c r="Q45" s="278"/>
      <c r="R45" s="522"/>
      <c r="S45" s="522"/>
      <c r="T45" s="522"/>
      <c r="U45" s="522"/>
      <c r="V45" s="522"/>
      <c r="W45" s="522"/>
      <c r="X45" s="522"/>
    </row>
    <row r="46" spans="2:25" x14ac:dyDescent="0.25">
      <c r="B46" s="239" t="s">
        <v>323</v>
      </c>
      <c r="C46" s="224"/>
      <c r="D46" s="161"/>
      <c r="E46" s="161"/>
      <c r="F46" s="161"/>
      <c r="G46" s="271"/>
      <c r="H46" s="599"/>
      <c r="I46" s="254"/>
      <c r="J46" s="262"/>
      <c r="K46" s="214"/>
      <c r="L46" s="214"/>
      <c r="M46" s="562"/>
      <c r="N46" s="563"/>
      <c r="O46" s="562"/>
      <c r="P46" s="548"/>
      <c r="Q46" s="277"/>
      <c r="R46" s="522"/>
      <c r="S46" s="522"/>
      <c r="T46" s="522"/>
      <c r="U46" s="522"/>
      <c r="V46" s="522"/>
      <c r="W46" s="522"/>
      <c r="X46" s="522"/>
    </row>
    <row r="47" spans="2:25" x14ac:dyDescent="0.25">
      <c r="B47" s="220"/>
      <c r="C47" s="264" t="s">
        <v>483</v>
      </c>
      <c r="D47" s="161" t="str">
        <f>INDEX(Unit_Rates!$C$7:$K$59,MATCH($C47,Unit_Rates!$C$7:$C$59,0),5)</f>
        <v>SCADA/Network control</v>
      </c>
      <c r="E47" s="161" t="str">
        <f>INDEX(Unit_Rates!$C$7:$K$59,MATCH($C47,Unit_Rates!$C$7:$C$59,0),6)</f>
        <v>Augmentation</v>
      </c>
      <c r="F47" s="264" t="str">
        <f t="shared" ref="F47:F53" si="6">D47&amp;E47</f>
        <v>SCADA/Network controlAugmentation</v>
      </c>
      <c r="G47" s="271">
        <f>INDEX(Unit_Rates!$C$7:$K$59,MATCH($C47,Unit_Rates!$C$7:$C$59,0),7)</f>
        <v>46.208057090239414</v>
      </c>
      <c r="H47" s="518">
        <v>2</v>
      </c>
      <c r="I47" s="252" t="s">
        <v>308</v>
      </c>
      <c r="J47" s="147"/>
      <c r="K47" s="213">
        <f t="shared" ref="K47:K53" si="7">G47*H47</f>
        <v>92.416114180478829</v>
      </c>
      <c r="L47" s="213">
        <f t="shared" ref="L47:L53" si="8">SUMPRODUCT(R$5:X$5,R47:X47)/Thousands</f>
        <v>0</v>
      </c>
      <c r="M47" s="534"/>
      <c r="N47" s="739"/>
      <c r="O47" s="739"/>
      <c r="P47" s="740"/>
      <c r="Q47" s="317"/>
      <c r="R47" s="519">
        <v>0</v>
      </c>
      <c r="S47" s="519">
        <v>0</v>
      </c>
      <c r="T47" s="519">
        <v>0</v>
      </c>
      <c r="U47" s="519">
        <v>0</v>
      </c>
      <c r="V47" s="519">
        <v>0</v>
      </c>
      <c r="W47" s="519">
        <v>0</v>
      </c>
      <c r="X47" s="519">
        <v>0</v>
      </c>
      <c r="Y47" s="14">
        <f t="shared" ref="Y47:Y53" si="9">SUM(R47:X47)</f>
        <v>0</v>
      </c>
    </row>
    <row r="48" spans="2:25" x14ac:dyDescent="0.25">
      <c r="B48" s="220"/>
      <c r="C48" s="264" t="s">
        <v>335</v>
      </c>
      <c r="D48" s="161" t="str">
        <f>INDEX(Unit_Rates!$C$7:$K$59,MATCH($C48,Unit_Rates!$C$7:$C$59,0),5)</f>
        <v>SCADA/Network control</v>
      </c>
      <c r="E48" s="161" t="str">
        <f>INDEX(Unit_Rates!$C$7:$K$59,MATCH($C48,Unit_Rates!$C$7:$C$59,0),6)</f>
        <v>Augmentation</v>
      </c>
      <c r="F48" s="264" t="str">
        <f t="shared" si="6"/>
        <v>SCADA/Network controlAugmentation</v>
      </c>
      <c r="G48" s="271">
        <f>INDEX(Unit_Rates!$C$7:$K$59,MATCH($C48,Unit_Rates!$C$7:$C$59,0),7)</f>
        <v>5.88950276243094</v>
      </c>
      <c r="H48" s="518">
        <v>1</v>
      </c>
      <c r="I48" s="252" t="s">
        <v>308</v>
      </c>
      <c r="J48" s="147"/>
      <c r="K48" s="213">
        <f t="shared" si="7"/>
        <v>5.88950276243094</v>
      </c>
      <c r="L48" s="213">
        <f t="shared" si="8"/>
        <v>0</v>
      </c>
      <c r="M48" s="534"/>
      <c r="N48" s="739"/>
      <c r="O48" s="739"/>
      <c r="P48" s="740"/>
      <c r="Q48" s="317"/>
      <c r="R48" s="519">
        <v>0</v>
      </c>
      <c r="S48" s="519">
        <v>0</v>
      </c>
      <c r="T48" s="519">
        <v>0</v>
      </c>
      <c r="U48" s="519">
        <v>0</v>
      </c>
      <c r="V48" s="519">
        <v>0</v>
      </c>
      <c r="W48" s="519">
        <v>0</v>
      </c>
      <c r="X48" s="519">
        <v>0</v>
      </c>
      <c r="Y48" s="14">
        <f t="shared" si="9"/>
        <v>0</v>
      </c>
    </row>
    <row r="49" spans="2:25" x14ac:dyDescent="0.25">
      <c r="B49" s="220"/>
      <c r="C49" s="264" t="s">
        <v>337</v>
      </c>
      <c r="D49" s="161" t="str">
        <f>INDEX(Unit_Rates!$C$7:$K$59,MATCH($C49,Unit_Rates!$C$7:$C$59,0),5)</f>
        <v>SCADA/Network control</v>
      </c>
      <c r="E49" s="161" t="str">
        <f>INDEX(Unit_Rates!$C$7:$K$59,MATCH($C49,Unit_Rates!$C$7:$C$59,0),6)</f>
        <v>Augmentation</v>
      </c>
      <c r="F49" s="264" t="str">
        <f>D49&amp;E49</f>
        <v>SCADA/Network controlAugmentation</v>
      </c>
      <c r="G49" s="271">
        <f>INDEX(Unit_Rates!$C$7:$K$59,MATCH($C49,Unit_Rates!$C$7:$C$59,0),7)</f>
        <v>8.2030957642725593</v>
      </c>
      <c r="H49" s="518"/>
      <c r="I49" s="252" t="s">
        <v>308</v>
      </c>
      <c r="J49" s="147"/>
      <c r="K49" s="213">
        <f t="shared" si="7"/>
        <v>0</v>
      </c>
      <c r="L49" s="213">
        <f t="shared" si="8"/>
        <v>0</v>
      </c>
      <c r="M49" s="534"/>
      <c r="N49" s="739"/>
      <c r="O49" s="739"/>
      <c r="P49" s="740"/>
      <c r="Q49" s="317"/>
      <c r="R49" s="519">
        <v>0</v>
      </c>
      <c r="S49" s="519">
        <v>0</v>
      </c>
      <c r="T49" s="519">
        <v>0</v>
      </c>
      <c r="U49" s="519">
        <v>0</v>
      </c>
      <c r="V49" s="519">
        <v>0</v>
      </c>
      <c r="W49" s="519">
        <v>0</v>
      </c>
      <c r="X49" s="519">
        <v>0</v>
      </c>
      <c r="Y49" s="14">
        <f t="shared" si="9"/>
        <v>0</v>
      </c>
    </row>
    <row r="50" spans="2:25" x14ac:dyDescent="0.25">
      <c r="B50" s="220"/>
      <c r="C50" s="264" t="s">
        <v>504</v>
      </c>
      <c r="D50" s="161" t="str">
        <f>INDEX(Unit_Rates!$C$7:$K$59,MATCH($C50,Unit_Rates!$C$7:$C$59,0),5)</f>
        <v>SCADA/Network control</v>
      </c>
      <c r="E50" s="161" t="str">
        <f>INDEX(Unit_Rates!$C$7:$K$59,MATCH($C50,Unit_Rates!$C$7:$C$59,0),6)</f>
        <v>Augmentation</v>
      </c>
      <c r="F50" s="264" t="str">
        <f>D50&amp;E50</f>
        <v>SCADA/Network controlAugmentation</v>
      </c>
      <c r="G50" s="271">
        <f>INDEX(Unit_Rates!$C$7:$K$59,MATCH($C50,Unit_Rates!$C$7:$C$59,0),7)</f>
        <v>92.456849907918979</v>
      </c>
      <c r="H50" s="518">
        <v>2</v>
      </c>
      <c r="I50" s="252" t="s">
        <v>308</v>
      </c>
      <c r="J50" s="147"/>
      <c r="K50" s="213">
        <f t="shared" si="7"/>
        <v>184.91369981583796</v>
      </c>
      <c r="L50" s="213">
        <f t="shared" si="8"/>
        <v>0</v>
      </c>
      <c r="M50" s="534"/>
      <c r="N50" s="739"/>
      <c r="O50" s="739"/>
      <c r="P50" s="740"/>
      <c r="Q50" s="317"/>
      <c r="R50" s="519">
        <v>0</v>
      </c>
      <c r="S50" s="519">
        <v>0</v>
      </c>
      <c r="T50" s="519">
        <v>0</v>
      </c>
      <c r="U50" s="519">
        <v>0</v>
      </c>
      <c r="V50" s="519">
        <v>0</v>
      </c>
      <c r="W50" s="519">
        <v>0</v>
      </c>
      <c r="X50" s="519">
        <v>0</v>
      </c>
      <c r="Y50" s="14">
        <f t="shared" si="9"/>
        <v>0</v>
      </c>
    </row>
    <row r="51" spans="2:25" x14ac:dyDescent="0.25">
      <c r="B51" s="220"/>
      <c r="C51" s="224" t="s">
        <v>340</v>
      </c>
      <c r="D51" s="264" t="s">
        <v>22</v>
      </c>
      <c r="E51" s="264" t="s">
        <v>42</v>
      </c>
      <c r="F51" s="264" t="s">
        <v>196</v>
      </c>
      <c r="G51" s="416">
        <v>29.056518584070794</v>
      </c>
      <c r="H51" s="518">
        <v>1</v>
      </c>
      <c r="I51" s="252" t="s">
        <v>308</v>
      </c>
      <c r="J51" s="147"/>
      <c r="K51" s="213">
        <f t="shared" si="7"/>
        <v>29.056518584070794</v>
      </c>
      <c r="L51" s="213">
        <f t="shared" si="8"/>
        <v>0</v>
      </c>
      <c r="M51" s="534"/>
      <c r="N51" s="739"/>
      <c r="O51" s="741"/>
      <c r="P51" s="740"/>
      <c r="Q51" s="277"/>
      <c r="R51" s="519">
        <v>0</v>
      </c>
      <c r="S51" s="519">
        <v>0</v>
      </c>
      <c r="T51" s="519">
        <v>0</v>
      </c>
      <c r="U51" s="519">
        <v>0</v>
      </c>
      <c r="V51" s="519"/>
      <c r="W51" s="519">
        <v>0</v>
      </c>
      <c r="X51" s="519">
        <v>0</v>
      </c>
      <c r="Y51" s="14">
        <f t="shared" si="9"/>
        <v>0</v>
      </c>
    </row>
    <row r="52" spans="2:25" x14ac:dyDescent="0.25">
      <c r="B52" s="220"/>
      <c r="C52" s="224" t="s">
        <v>338</v>
      </c>
      <c r="D52" s="264" t="s">
        <v>22</v>
      </c>
      <c r="E52" s="264" t="s">
        <v>42</v>
      </c>
      <c r="F52" s="264" t="str">
        <f t="shared" si="6"/>
        <v>SCADA/Network controlAugmentation</v>
      </c>
      <c r="G52" s="416">
        <v>396.14163716814147</v>
      </c>
      <c r="H52" s="518">
        <v>1</v>
      </c>
      <c r="I52" s="252" t="s">
        <v>308</v>
      </c>
      <c r="J52" s="147"/>
      <c r="K52" s="213">
        <f t="shared" si="7"/>
        <v>396.14163716814147</v>
      </c>
      <c r="L52" s="213">
        <f t="shared" si="8"/>
        <v>0</v>
      </c>
      <c r="M52" s="534"/>
      <c r="N52" s="739"/>
      <c r="O52" s="741"/>
      <c r="P52" s="740"/>
      <c r="Q52" s="277"/>
      <c r="R52" s="519">
        <v>0</v>
      </c>
      <c r="S52" s="519">
        <v>0</v>
      </c>
      <c r="T52" s="519">
        <v>0</v>
      </c>
      <c r="U52" s="519">
        <v>0</v>
      </c>
      <c r="V52" s="519">
        <v>0</v>
      </c>
      <c r="W52" s="519">
        <v>0</v>
      </c>
      <c r="X52" s="519">
        <v>0</v>
      </c>
      <c r="Y52" s="14">
        <f t="shared" si="9"/>
        <v>0</v>
      </c>
    </row>
    <row r="53" spans="2:25" x14ac:dyDescent="0.25">
      <c r="B53" s="239" t="s">
        <v>297</v>
      </c>
      <c r="C53" s="224"/>
      <c r="D53" s="224" t="s">
        <v>18</v>
      </c>
      <c r="E53" s="224" t="s">
        <v>42</v>
      </c>
      <c r="F53" s="224" t="str">
        <f t="shared" si="6"/>
        <v>SubtransmissionAugmentation</v>
      </c>
      <c r="G53" s="524">
        <v>54.711270796460163</v>
      </c>
      <c r="H53" s="518">
        <v>1</v>
      </c>
      <c r="I53" s="252" t="s">
        <v>308</v>
      </c>
      <c r="J53" s="147"/>
      <c r="K53" s="213">
        <f t="shared" si="7"/>
        <v>54.711270796460163</v>
      </c>
      <c r="L53" s="213">
        <f t="shared" si="8"/>
        <v>0</v>
      </c>
      <c r="M53" s="534"/>
      <c r="N53" s="739"/>
      <c r="O53" s="741"/>
      <c r="P53" s="740"/>
      <c r="Q53" s="277"/>
      <c r="R53" s="519">
        <v>0</v>
      </c>
      <c r="S53" s="519">
        <v>0</v>
      </c>
      <c r="T53" s="519">
        <v>0</v>
      </c>
      <c r="U53" s="519">
        <v>0</v>
      </c>
      <c r="V53" s="519">
        <v>0</v>
      </c>
      <c r="W53" s="519">
        <v>0</v>
      </c>
      <c r="X53" s="519">
        <v>0</v>
      </c>
      <c r="Y53" s="14">
        <f t="shared" si="9"/>
        <v>0</v>
      </c>
    </row>
    <row r="54" spans="2:25" x14ac:dyDescent="0.25">
      <c r="B54" s="239" t="s">
        <v>328</v>
      </c>
      <c r="C54" s="224"/>
      <c r="D54" s="161"/>
      <c r="E54" s="161"/>
      <c r="F54" s="161"/>
      <c r="G54" s="538"/>
      <c r="H54" s="598"/>
      <c r="I54" s="212"/>
      <c r="J54" s="161"/>
      <c r="K54" s="213"/>
      <c r="L54" s="213"/>
      <c r="M54" s="531"/>
      <c r="N54" s="530"/>
      <c r="O54" s="531"/>
      <c r="P54" s="548"/>
      <c r="Q54" s="277"/>
      <c r="R54" s="522"/>
      <c r="S54" s="522"/>
      <c r="T54" s="522"/>
      <c r="U54" s="522"/>
      <c r="V54" s="522"/>
      <c r="W54" s="522"/>
      <c r="X54" s="522"/>
    </row>
    <row r="55" spans="2:25" x14ac:dyDescent="0.25">
      <c r="B55" s="220"/>
      <c r="C55" s="224" t="s">
        <v>341</v>
      </c>
      <c r="D55" s="161" t="s">
        <v>18</v>
      </c>
      <c r="E55" s="264" t="s">
        <v>42</v>
      </c>
      <c r="F55" s="264" t="str">
        <f>D55&amp;E55</f>
        <v>SubtransmissionAugmentation</v>
      </c>
      <c r="G55" s="524">
        <v>0</v>
      </c>
      <c r="H55" s="518"/>
      <c r="I55" s="252" t="s">
        <v>308</v>
      </c>
      <c r="J55" s="161"/>
      <c r="K55" s="213">
        <f>G55*H55</f>
        <v>0</v>
      </c>
      <c r="L55" s="213">
        <f>SUMPRODUCT(R$5:X$5,R55:X55)/Thousands</f>
        <v>0</v>
      </c>
      <c r="M55" s="534"/>
      <c r="N55" s="739"/>
      <c r="O55" s="741"/>
      <c r="P55" s="740"/>
      <c r="Q55" s="277"/>
      <c r="R55" s="519">
        <v>0</v>
      </c>
      <c r="S55" s="519">
        <v>0</v>
      </c>
      <c r="T55" s="519">
        <v>0</v>
      </c>
      <c r="U55" s="519">
        <v>0</v>
      </c>
      <c r="V55" s="519">
        <v>0</v>
      </c>
      <c r="W55" s="519">
        <v>0</v>
      </c>
      <c r="X55" s="519">
        <v>0</v>
      </c>
      <c r="Y55" s="14">
        <f>SUM(R55:X55)</f>
        <v>0</v>
      </c>
    </row>
    <row r="56" spans="2:25" x14ac:dyDescent="0.25">
      <c r="B56" s="220"/>
      <c r="C56" s="224" t="s">
        <v>332</v>
      </c>
      <c r="D56" s="224" t="str">
        <f>Unit_Rates!G43</f>
        <v>Subtransmission</v>
      </c>
      <c r="E56" s="224" t="str">
        <f>Unit_Rates!H43</f>
        <v>Augmentation</v>
      </c>
      <c r="F56" s="224" t="str">
        <f>D56&amp;E56</f>
        <v>SubtransmissionAugmentation</v>
      </c>
      <c r="G56" s="271">
        <f>Unit_Rates!$I$43</f>
        <v>123.95348837209301</v>
      </c>
      <c r="H56" s="518"/>
      <c r="I56" s="252" t="s">
        <v>308</v>
      </c>
      <c r="J56" s="161"/>
      <c r="K56" s="213">
        <f>G56*H56</f>
        <v>0</v>
      </c>
      <c r="L56" s="213">
        <f>SUMPRODUCT(R$5:X$5,R56:X56)/Thousands</f>
        <v>0</v>
      </c>
      <c r="M56" s="534"/>
      <c r="N56" s="739"/>
      <c r="O56" s="739"/>
      <c r="P56" s="740"/>
      <c r="Q56" s="317"/>
      <c r="R56" s="519">
        <v>0</v>
      </c>
      <c r="S56" s="519">
        <v>0</v>
      </c>
      <c r="T56" s="519">
        <v>0</v>
      </c>
      <c r="U56" s="519">
        <v>0</v>
      </c>
      <c r="V56" s="519">
        <v>0</v>
      </c>
      <c r="W56" s="519">
        <v>0</v>
      </c>
      <c r="X56" s="519">
        <v>0</v>
      </c>
      <c r="Y56" s="14">
        <f>SUM(R56:X56)</f>
        <v>0</v>
      </c>
    </row>
    <row r="57" spans="2:25" x14ac:dyDescent="0.25">
      <c r="B57" s="220"/>
      <c r="C57" s="639" t="s">
        <v>333</v>
      </c>
      <c r="D57" s="161" t="s">
        <v>18</v>
      </c>
      <c r="E57" s="264" t="s">
        <v>42</v>
      </c>
      <c r="F57" s="264" t="str">
        <f>D57&amp;E57</f>
        <v>SubtransmissionAugmentation</v>
      </c>
      <c r="G57" s="524">
        <v>2.2669008849557519</v>
      </c>
      <c r="H57" s="518">
        <v>1</v>
      </c>
      <c r="I57" s="252" t="s">
        <v>308</v>
      </c>
      <c r="J57" s="161"/>
      <c r="K57" s="213">
        <f>G57*H57</f>
        <v>2.2669008849557519</v>
      </c>
      <c r="L57" s="213">
        <f>SUMPRODUCT(R$5:X$5,R57:X57)/Thousands</f>
        <v>0</v>
      </c>
      <c r="M57" s="534"/>
      <c r="N57" s="739"/>
      <c r="O57" s="741"/>
      <c r="P57" s="740"/>
      <c r="Q57" s="277"/>
      <c r="R57" s="519">
        <v>0</v>
      </c>
      <c r="S57" s="519">
        <v>0</v>
      </c>
      <c r="T57" s="519">
        <v>0</v>
      </c>
      <c r="U57" s="519">
        <v>0</v>
      </c>
      <c r="V57" s="519">
        <v>0</v>
      </c>
      <c r="W57" s="519">
        <v>0</v>
      </c>
      <c r="X57" s="519">
        <v>0</v>
      </c>
      <c r="Y57" s="14">
        <f>SUM(R57:X57)</f>
        <v>0</v>
      </c>
    </row>
    <row r="58" spans="2:25" x14ac:dyDescent="0.25">
      <c r="B58" s="296" t="s">
        <v>300</v>
      </c>
      <c r="C58" s="639"/>
      <c r="D58" s="161" t="s">
        <v>18</v>
      </c>
      <c r="E58" s="264" t="s">
        <v>42</v>
      </c>
      <c r="F58" s="264" t="str">
        <f>D58&amp;E58</f>
        <v>SubtransmissionAugmentation</v>
      </c>
      <c r="G58" s="271">
        <v>13.142930973451325</v>
      </c>
      <c r="H58" s="518">
        <v>1</v>
      </c>
      <c r="I58" s="252" t="s">
        <v>308</v>
      </c>
      <c r="J58" s="161"/>
      <c r="K58" s="213">
        <f>G58*H58</f>
        <v>13.142930973451325</v>
      </c>
      <c r="L58" s="216">
        <f>SUMPRODUCT(R$5:X$5,R58:X58)/Thousands</f>
        <v>0</v>
      </c>
      <c r="M58" s="564"/>
      <c r="N58" s="739"/>
      <c r="O58" s="742"/>
      <c r="P58" s="740"/>
      <c r="Q58" s="277"/>
      <c r="R58" s="519">
        <v>0</v>
      </c>
      <c r="S58" s="519">
        <v>0</v>
      </c>
      <c r="T58" s="519">
        <v>0</v>
      </c>
      <c r="U58" s="519">
        <v>0</v>
      </c>
      <c r="V58" s="519">
        <v>0</v>
      </c>
      <c r="W58" s="519">
        <v>0</v>
      </c>
      <c r="X58" s="519">
        <v>0</v>
      </c>
      <c r="Y58" s="14">
        <f>SUM(R58:X58)</f>
        <v>0</v>
      </c>
    </row>
    <row r="59" spans="2:25" x14ac:dyDescent="0.25">
      <c r="B59" s="239" t="s">
        <v>284</v>
      </c>
      <c r="C59" s="224"/>
      <c r="D59" s="161" t="s">
        <v>211</v>
      </c>
      <c r="E59" s="264" t="s">
        <v>83</v>
      </c>
      <c r="F59" s="264" t="str">
        <f>D59&amp;E59</f>
        <v>LandNon-Network</v>
      </c>
      <c r="G59" s="271">
        <v>0</v>
      </c>
      <c r="H59" s="516"/>
      <c r="I59" s="252" t="s">
        <v>308</v>
      </c>
      <c r="J59" s="161"/>
      <c r="K59" s="216">
        <v>0</v>
      </c>
      <c r="L59" s="216">
        <f>SUMPRODUCT(R$5:X$5,R59:X59)/Thousands</f>
        <v>0</v>
      </c>
      <c r="M59" s="564"/>
      <c r="N59" s="739"/>
      <c r="O59" s="742"/>
      <c r="P59" s="740"/>
      <c r="R59" s="519">
        <v>0</v>
      </c>
      <c r="S59" s="519">
        <v>0</v>
      </c>
      <c r="T59" s="519">
        <v>0</v>
      </c>
      <c r="U59" s="519">
        <v>0</v>
      </c>
      <c r="V59" s="519">
        <v>0</v>
      </c>
      <c r="W59" s="519">
        <v>0</v>
      </c>
      <c r="X59" s="519">
        <v>0</v>
      </c>
      <c r="Y59" s="14">
        <f>SUM(R59:X59)</f>
        <v>0</v>
      </c>
    </row>
    <row r="60" spans="2:25" x14ac:dyDescent="0.25">
      <c r="B60" s="220"/>
      <c r="C60" s="161"/>
      <c r="D60" s="161"/>
      <c r="E60" s="161"/>
      <c r="F60" s="161"/>
      <c r="G60" s="559"/>
      <c r="H60" s="220"/>
      <c r="I60" s="212"/>
      <c r="J60" s="161"/>
      <c r="K60" s="217"/>
      <c r="L60" s="217"/>
      <c r="M60" s="566"/>
      <c r="N60" s="566"/>
      <c r="O60" s="566"/>
      <c r="P60" s="566"/>
    </row>
    <row r="61" spans="2:25" x14ac:dyDescent="0.25">
      <c r="B61" s="239" t="s">
        <v>298</v>
      </c>
      <c r="C61" s="161"/>
      <c r="D61" s="161"/>
      <c r="E61" s="161"/>
      <c r="F61" s="161"/>
      <c r="G61" s="559"/>
      <c r="H61" s="220"/>
      <c r="I61" s="212"/>
      <c r="J61" s="161"/>
      <c r="K61" s="302">
        <f t="shared" ref="K61:M61" si="10">SUM(K6:K59)</f>
        <v>4264.5368707410471</v>
      </c>
      <c r="L61" s="302">
        <f t="shared" si="10"/>
        <v>1053.2312223712092</v>
      </c>
      <c r="M61" s="567">
        <f t="shared" si="10"/>
        <v>1415.0442477876102</v>
      </c>
      <c r="N61" s="567">
        <v>4525.9784781328262</v>
      </c>
      <c r="O61" s="567">
        <v>151.48555795237857</v>
      </c>
      <c r="P61" s="567">
        <v>11410.27637698507</v>
      </c>
      <c r="Q61" s="606"/>
      <c r="S61" s="278"/>
      <c r="T61" s="278"/>
    </row>
    <row r="62" spans="2:25" x14ac:dyDescent="0.25">
      <c r="B62" s="247" t="s">
        <v>72</v>
      </c>
      <c r="C62" s="248"/>
      <c r="D62" s="248"/>
      <c r="E62" s="248"/>
      <c r="F62" s="248"/>
      <c r="G62" s="586"/>
      <c r="H62" s="247"/>
      <c r="I62" s="255"/>
      <c r="J62" s="248"/>
      <c r="K62" s="303">
        <f>K61-Direct_Capex_Totals!Q5</f>
        <v>0</v>
      </c>
      <c r="L62" s="304">
        <f>L61-Direct_Capex_Totals!R5</f>
        <v>0</v>
      </c>
      <c r="M62" s="304">
        <f>M61-Direct_Capex_Totals!S5</f>
        <v>0</v>
      </c>
      <c r="N62" s="304">
        <f>N61-Direct_Capex_Totals!T5</f>
        <v>0</v>
      </c>
      <c r="O62" s="304">
        <f>O61-Direct_Capex_Totals!U5</f>
        <v>0</v>
      </c>
      <c r="P62" s="305">
        <f>SUM(K62:O62)</f>
        <v>0</v>
      </c>
    </row>
    <row r="63" spans="2:25" ht="30" x14ac:dyDescent="0.25">
      <c r="B63" s="225" t="s">
        <v>278</v>
      </c>
      <c r="C63" s="226"/>
      <c r="D63" s="279"/>
      <c r="E63" s="279"/>
      <c r="F63" s="279"/>
      <c r="G63" s="568" t="s">
        <v>318</v>
      </c>
      <c r="H63" s="260" t="s">
        <v>281</v>
      </c>
      <c r="I63" s="18" t="s">
        <v>309</v>
      </c>
      <c r="J63" s="248"/>
      <c r="K63" s="18" t="s">
        <v>151</v>
      </c>
      <c r="L63" s="18" t="s">
        <v>306</v>
      </c>
      <c r="M63" s="568" t="s">
        <v>152</v>
      </c>
      <c r="N63" s="568" t="s">
        <v>153</v>
      </c>
      <c r="O63" s="364" t="s">
        <v>77</v>
      </c>
      <c r="P63" s="364" t="s">
        <v>307</v>
      </c>
    </row>
    <row r="64" spans="2:25" x14ac:dyDescent="0.25">
      <c r="B64" s="239"/>
      <c r="C64" s="161"/>
      <c r="D64" s="161"/>
      <c r="E64" s="161"/>
      <c r="F64" s="161"/>
      <c r="G64" s="559"/>
      <c r="H64" s="220"/>
      <c r="I64" s="212"/>
      <c r="J64" s="161"/>
      <c r="K64" s="223"/>
      <c r="L64" s="223"/>
      <c r="M64" s="569"/>
      <c r="N64" s="569"/>
      <c r="O64" s="569"/>
      <c r="P64" s="559"/>
    </row>
    <row r="65" spans="2:35" x14ac:dyDescent="0.25">
      <c r="B65" s="239" t="s">
        <v>17</v>
      </c>
      <c r="C65" s="161"/>
      <c r="D65" s="161"/>
      <c r="E65" s="161"/>
      <c r="F65" s="161"/>
      <c r="G65" s="559"/>
      <c r="H65" s="220"/>
      <c r="I65" s="212"/>
      <c r="J65" s="161"/>
      <c r="K65" s="223"/>
      <c r="L65" s="223"/>
      <c r="M65" s="569"/>
      <c r="N65" s="569"/>
      <c r="O65" s="569"/>
      <c r="P65" s="559"/>
      <c r="R65" s="593"/>
      <c r="S65" s="593"/>
      <c r="T65" s="593"/>
      <c r="U65" s="445"/>
      <c r="V65" s="445"/>
      <c r="W65" s="445"/>
      <c r="X65" s="445"/>
      <c r="AI65" t="s">
        <v>472</v>
      </c>
    </row>
    <row r="66" spans="2:35" x14ac:dyDescent="0.25">
      <c r="B66" s="239"/>
      <c r="C66" s="270" t="s">
        <v>344</v>
      </c>
      <c r="D66" s="270" t="str">
        <f>IF($B$3="WYK2",Unit_Rates!G65,Unit_Rates!G66)</f>
        <v>Distribution system assets</v>
      </c>
      <c r="E66" s="270" t="str">
        <f>IF($B$3="WYK2",Unit_Rates!H65,Unit_Rates!H66)</f>
        <v>Augmentation</v>
      </c>
      <c r="F66" s="270" t="str">
        <f t="shared" ref="F66:F72" si="11">D66&amp;E66</f>
        <v>Distribution system assetsAugmentation</v>
      </c>
      <c r="G66" s="271">
        <v>0</v>
      </c>
      <c r="H66" s="430">
        <f>INDEX(Feeder_Vols!$E$7:$Q$13,MATCH($B$3,Feeder_Vols!$B$7:$B$12,0),MATCH(1,Feeder_Vols!$E$6:$Q$6,0))</f>
        <v>5</v>
      </c>
      <c r="I66" s="212" t="s">
        <v>313</v>
      </c>
      <c r="J66" s="270"/>
      <c r="K66" s="271"/>
      <c r="L66" s="271">
        <f t="shared" ref="L66:L75" si="12">SUMPRODUCT(R$5:X$5,R66:X66)/Thousands</f>
        <v>41.048020576842568</v>
      </c>
      <c r="M66" s="271">
        <f>$H66*IF($B$3="WYK2",Unit_Rates!K65,Unit_Rates!K66)</f>
        <v>90.659581395348837</v>
      </c>
      <c r="N66" s="271">
        <f>$H66*IF($B$3="WYK2",Unit_Rates!L65,Unit_Rates!L66)</f>
        <v>0</v>
      </c>
      <c r="O66" s="271">
        <f>$H66*IF($B$3="WYK2",Unit_Rates!M65,Unit_Rates!M66)</f>
        <v>0</v>
      </c>
      <c r="P66" s="570">
        <f t="shared" ref="P66:P75" si="13">SUM(K66:O66)</f>
        <v>131.70760197219141</v>
      </c>
      <c r="Q66" s="571"/>
      <c r="R66" s="627">
        <f t="shared" ref="R66:X71" si="14">$AI66*Z66*$H66</f>
        <v>74.013157894736835</v>
      </c>
      <c r="S66" s="627">
        <f t="shared" si="14"/>
        <v>198.06338028169012</v>
      </c>
      <c r="T66" s="627">
        <f t="shared" si="14"/>
        <v>0</v>
      </c>
      <c r="U66" s="627">
        <f t="shared" si="14"/>
        <v>0</v>
      </c>
      <c r="V66" s="627">
        <f t="shared" si="14"/>
        <v>0</v>
      </c>
      <c r="W66" s="627">
        <f t="shared" si="14"/>
        <v>0</v>
      </c>
      <c r="X66" s="627">
        <f t="shared" si="14"/>
        <v>0</v>
      </c>
      <c r="Y66" s="14">
        <f t="shared" ref="Y66:Y75" si="15">SUM(R66:X66)</f>
        <v>272.07653817642694</v>
      </c>
      <c r="Z66" s="15">
        <v>0.27203065134099613</v>
      </c>
      <c r="AA66" s="15">
        <v>0.72796934865900376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6">
        <f t="shared" ref="AG66:AG71" si="16">SUM(Z66:AF66)</f>
        <v>0.99999999999999989</v>
      </c>
      <c r="AH66" t="b">
        <f t="shared" ref="AH66:AH71" si="17">AG66=1</f>
        <v>1</v>
      </c>
      <c r="AI66" s="365">
        <v>54.415307635285394</v>
      </c>
    </row>
    <row r="67" spans="2:35" x14ac:dyDescent="0.25">
      <c r="B67" s="239"/>
      <c r="C67" s="161" t="s">
        <v>247</v>
      </c>
      <c r="D67" s="161" t="str">
        <f>Unit_Rates!G67</f>
        <v>Distribution system assets</v>
      </c>
      <c r="E67" s="161" t="str">
        <f>Unit_Rates!H67</f>
        <v>Augmentation</v>
      </c>
      <c r="F67" s="161" t="str">
        <f t="shared" si="11"/>
        <v>Distribution system assetsAugmentation</v>
      </c>
      <c r="G67" s="742"/>
      <c r="H67" s="430">
        <f>INDEX(Feeder_Vols!$E$7:$Q$13,MATCH($B$3,Feeder_Vols!$B$7:$B$12,0),MATCH(2,Feeder_Vols!$E$6:$Q$6,0))</f>
        <v>18</v>
      </c>
      <c r="I67" s="212" t="s">
        <v>314</v>
      </c>
      <c r="J67" s="270"/>
      <c r="K67" s="742"/>
      <c r="L67" s="742"/>
      <c r="M67" s="742"/>
      <c r="N67" s="742"/>
      <c r="O67" s="742"/>
      <c r="P67" s="742"/>
      <c r="Q67" s="571"/>
      <c r="R67" s="743"/>
      <c r="S67" s="743"/>
      <c r="T67" s="743"/>
      <c r="U67" s="743"/>
      <c r="V67" s="743"/>
      <c r="W67" s="743"/>
      <c r="X67" s="743"/>
      <c r="Y67" s="744"/>
      <c r="Z67" s="15">
        <v>0</v>
      </c>
      <c r="AA67" s="15">
        <v>0.14071351127025331</v>
      </c>
      <c r="AB67" s="15">
        <v>0.24322448098123187</v>
      </c>
      <c r="AC67" s="15">
        <v>0</v>
      </c>
      <c r="AD67" s="15">
        <v>0.1760177164995757</v>
      </c>
      <c r="AE67" s="15">
        <v>0.44004429124893918</v>
      </c>
      <c r="AF67" s="15">
        <v>0</v>
      </c>
      <c r="AG67" s="16">
        <f t="shared" si="16"/>
        <v>1</v>
      </c>
      <c r="AH67" t="b">
        <f t="shared" si="17"/>
        <v>1</v>
      </c>
      <c r="AI67" s="792"/>
    </row>
    <row r="68" spans="2:35" x14ac:dyDescent="0.25">
      <c r="B68" s="239"/>
      <c r="C68" s="161" t="s">
        <v>251</v>
      </c>
      <c r="D68" s="161" t="str">
        <f>Unit_Rates!G68</f>
        <v>Distribution system assets</v>
      </c>
      <c r="E68" s="161" t="str">
        <f>Unit_Rates!H68</f>
        <v>Augmentation</v>
      </c>
      <c r="F68" s="161" t="str">
        <f t="shared" si="11"/>
        <v>Distribution system assetsAugmentation</v>
      </c>
      <c r="G68" s="742"/>
      <c r="H68" s="430">
        <f>INDEX(Feeder_Vols!$E$7:$Q$13,MATCH($B$3,Feeder_Vols!$B$7:$B$12,0),MATCH(3,Feeder_Vols!$E$6:$Q$6,0))</f>
        <v>0</v>
      </c>
      <c r="I68" s="212" t="s">
        <v>310</v>
      </c>
      <c r="J68" s="270"/>
      <c r="K68" s="742"/>
      <c r="L68" s="742"/>
      <c r="M68" s="742"/>
      <c r="N68" s="742"/>
      <c r="O68" s="742"/>
      <c r="P68" s="742"/>
      <c r="Q68" s="571"/>
      <c r="R68" s="743"/>
      <c r="S68" s="743"/>
      <c r="T68" s="743"/>
      <c r="U68" s="743"/>
      <c r="V68" s="743"/>
      <c r="W68" s="743"/>
      <c r="X68" s="743"/>
      <c r="Y68" s="744"/>
      <c r="Z68" s="15">
        <v>0</v>
      </c>
      <c r="AA68" s="15">
        <v>0.11317869701862385</v>
      </c>
      <c r="AB68" s="15">
        <v>0.25101832039696309</v>
      </c>
      <c r="AC68" s="15">
        <v>0</v>
      </c>
      <c r="AD68" s="15">
        <v>0.18165799502411806</v>
      </c>
      <c r="AE68" s="15">
        <v>0.45414498756029509</v>
      </c>
      <c r="AF68" s="15">
        <v>0</v>
      </c>
      <c r="AG68" s="16">
        <f t="shared" si="16"/>
        <v>1</v>
      </c>
      <c r="AH68" t="b">
        <f t="shared" si="17"/>
        <v>1</v>
      </c>
      <c r="AI68" s="792"/>
    </row>
    <row r="69" spans="2:35" x14ac:dyDescent="0.25">
      <c r="B69" s="239"/>
      <c r="C69" s="161" t="s">
        <v>253</v>
      </c>
      <c r="D69" s="161" t="str">
        <f>Unit_Rates!G69</f>
        <v>Distribution system assets</v>
      </c>
      <c r="E69" s="161" t="str">
        <f>Unit_Rates!H69</f>
        <v>Augmentation</v>
      </c>
      <c r="F69" s="161" t="str">
        <f t="shared" si="11"/>
        <v>Distribution system assetsAugmentation</v>
      </c>
      <c r="G69" s="742"/>
      <c r="H69" s="430">
        <f>INDEX(Feeder_Vols!$E$7:$Q$13,MATCH($B$3,Feeder_Vols!$B$7:$B$12,0),MATCH(4,Feeder_Vols!$E$6:$Q$6,0))</f>
        <v>57</v>
      </c>
      <c r="I69" s="253" t="s">
        <v>315</v>
      </c>
      <c r="J69" s="270"/>
      <c r="K69" s="742"/>
      <c r="L69" s="742"/>
      <c r="M69" s="742"/>
      <c r="N69" s="742"/>
      <c r="O69" s="742"/>
      <c r="P69" s="742"/>
      <c r="Q69" s="571"/>
      <c r="R69" s="743"/>
      <c r="S69" s="743"/>
      <c r="T69" s="743"/>
      <c r="U69" s="743"/>
      <c r="V69" s="743"/>
      <c r="W69" s="743"/>
      <c r="X69" s="743"/>
      <c r="Y69" s="744"/>
      <c r="Z69" s="15">
        <v>0</v>
      </c>
      <c r="AA69" s="15">
        <v>0.17737095137749856</v>
      </c>
      <c r="AB69" s="15">
        <v>0.23284844579258887</v>
      </c>
      <c r="AC69" s="15">
        <v>0</v>
      </c>
      <c r="AD69" s="15">
        <v>0.16850874366568935</v>
      </c>
      <c r="AE69" s="15">
        <v>0.42127185916422333</v>
      </c>
      <c r="AF69" s="15">
        <v>0</v>
      </c>
      <c r="AG69" s="16">
        <f t="shared" si="16"/>
        <v>1</v>
      </c>
      <c r="AH69" t="b">
        <f t="shared" si="17"/>
        <v>1</v>
      </c>
      <c r="AI69" s="792"/>
    </row>
    <row r="70" spans="2:35" x14ac:dyDescent="0.25">
      <c r="B70" s="239"/>
      <c r="C70" s="161" t="s">
        <v>249</v>
      </c>
      <c r="D70" s="161" t="str">
        <f>Unit_Rates!G70</f>
        <v>Distribution system assets</v>
      </c>
      <c r="E70" s="161" t="str">
        <f>Unit_Rates!H70</f>
        <v>Augmentation</v>
      </c>
      <c r="F70" s="161" t="str">
        <f t="shared" si="11"/>
        <v>Distribution system assetsAugmentation</v>
      </c>
      <c r="G70" s="271">
        <f>Unit_Rates!I70</f>
        <v>17.106573023255812</v>
      </c>
      <c r="H70" s="430">
        <f>INDEX(Feeder_Vols!$E$7:$Q$13,MATCH($B$3,Feeder_Vols!$B$7:$B$12,0),MATCH(5,Feeder_Vols!$E$6:$Q$6,0))</f>
        <v>37</v>
      </c>
      <c r="I70" s="253" t="s">
        <v>316</v>
      </c>
      <c r="J70" s="270"/>
      <c r="K70" s="271">
        <f t="shared" ref="K70:K75" si="18">G70*H70</f>
        <v>632.94320186046502</v>
      </c>
      <c r="L70" s="271">
        <f t="shared" si="12"/>
        <v>120.67624250041365</v>
      </c>
      <c r="M70" s="271">
        <f>$H70*Unit_Rates!K70</f>
        <v>0</v>
      </c>
      <c r="N70" s="271">
        <f>$H70*Unit_Rates!L70</f>
        <v>1117.5417846957478</v>
      </c>
      <c r="O70" s="271">
        <f>$H70*Unit_Rates!M70</f>
        <v>141.71372787363697</v>
      </c>
      <c r="P70" s="570">
        <f t="shared" si="13"/>
        <v>2012.8749569302634</v>
      </c>
      <c r="Q70" s="571">
        <f>P70-H70*Unit_Rates!$E$70</f>
        <v>2.9083671133603275</v>
      </c>
      <c r="R70" s="627">
        <f t="shared" si="14"/>
        <v>0</v>
      </c>
      <c r="S70" s="627">
        <f t="shared" si="14"/>
        <v>51.79999999999999</v>
      </c>
      <c r="T70" s="627">
        <f t="shared" si="14"/>
        <v>197.09484230100972</v>
      </c>
      <c r="U70" s="627">
        <f t="shared" si="14"/>
        <v>0</v>
      </c>
      <c r="V70" s="627">
        <f t="shared" si="14"/>
        <v>142.63442534941493</v>
      </c>
      <c r="W70" s="627">
        <f t="shared" si="14"/>
        <v>356.58606337353723</v>
      </c>
      <c r="X70" s="627">
        <f t="shared" si="14"/>
        <v>0</v>
      </c>
      <c r="Y70" s="14">
        <f t="shared" si="15"/>
        <v>748.11533102396186</v>
      </c>
      <c r="Z70" s="15">
        <v>0</v>
      </c>
      <c r="AA70" s="15">
        <v>6.9240660967474346E-2</v>
      </c>
      <c r="AB70" s="15">
        <v>0.26345515741702774</v>
      </c>
      <c r="AC70" s="15">
        <v>0</v>
      </c>
      <c r="AD70" s="15">
        <v>0.19065833760442799</v>
      </c>
      <c r="AE70" s="15">
        <v>0.47664584401106991</v>
      </c>
      <c r="AF70" s="15">
        <v>0</v>
      </c>
      <c r="AG70" s="16">
        <f t="shared" si="16"/>
        <v>1</v>
      </c>
      <c r="AH70" t="b">
        <f t="shared" si="17"/>
        <v>1</v>
      </c>
      <c r="AI70" s="5">
        <v>20.21933327091789</v>
      </c>
    </row>
    <row r="71" spans="2:35" x14ac:dyDescent="0.25">
      <c r="B71" s="239"/>
      <c r="C71" s="270" t="s">
        <v>356</v>
      </c>
      <c r="D71" s="161" t="str">
        <f>Unit_Rates!G71</f>
        <v>Distribution system assets</v>
      </c>
      <c r="E71" s="270" t="str">
        <f>Unit_Rates!H71</f>
        <v>Augmentation</v>
      </c>
      <c r="F71" s="270" t="str">
        <f t="shared" si="11"/>
        <v>Distribution system assetsAugmentation</v>
      </c>
      <c r="G71" s="271">
        <f>Unit_Rates!I71</f>
        <v>0</v>
      </c>
      <c r="H71" s="430">
        <f>INDEX(Feeder_Vols!$E$7:$Q$13,MATCH($B$3,Feeder_Vols!$B$7:$B$12,0),MATCH(1,Feeder_Vols!$E$6:$Q$6,0))</f>
        <v>5</v>
      </c>
      <c r="I71" s="212" t="s">
        <v>313</v>
      </c>
      <c r="J71" s="270"/>
      <c r="K71" s="271">
        <f t="shared" si="18"/>
        <v>0</v>
      </c>
      <c r="L71" s="271">
        <f t="shared" si="12"/>
        <v>30.230978260869598</v>
      </c>
      <c r="M71" s="271">
        <f>$H71*Unit_Rates!K71</f>
        <v>0</v>
      </c>
      <c r="N71" s="271">
        <f>$H71*Unit_Rates!L71</f>
        <v>38.910616784630925</v>
      </c>
      <c r="O71" s="271">
        <f>$H71*Unit_Rates!M71</f>
        <v>0</v>
      </c>
      <c r="P71" s="570">
        <f t="shared" si="13"/>
        <v>69.141595045500523</v>
      </c>
      <c r="Q71" s="607">
        <f>P71-H71*Unit_Rates!$E$71</f>
        <v>-8.373356926183817E-2</v>
      </c>
      <c r="R71" s="627">
        <f t="shared" si="14"/>
        <v>0</v>
      </c>
      <c r="S71" s="627">
        <f t="shared" si="14"/>
        <v>0</v>
      </c>
      <c r="T71" s="627">
        <f t="shared" si="14"/>
        <v>0</v>
      </c>
      <c r="U71" s="627">
        <f t="shared" si="14"/>
        <v>0</v>
      </c>
      <c r="V71" s="627">
        <f t="shared" si="14"/>
        <v>0</v>
      </c>
      <c r="W71" s="627">
        <f t="shared" si="14"/>
        <v>0</v>
      </c>
      <c r="X71" s="627">
        <f t="shared" si="14"/>
        <v>231.99067868198813</v>
      </c>
      <c r="Y71" s="14">
        <f t="shared" si="15"/>
        <v>231.99067868198813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1</v>
      </c>
      <c r="AG71" s="16">
        <f t="shared" si="16"/>
        <v>1</v>
      </c>
      <c r="AH71" t="b">
        <f t="shared" si="17"/>
        <v>1</v>
      </c>
      <c r="AI71" s="5">
        <v>46.398135736397627</v>
      </c>
    </row>
    <row r="72" spans="2:35" x14ac:dyDescent="0.25">
      <c r="B72" s="239"/>
      <c r="C72" s="326" t="s">
        <v>354</v>
      </c>
      <c r="D72" s="161" t="str">
        <f>Unit_Rates!G72</f>
        <v>Distribution system assets</v>
      </c>
      <c r="E72" s="339" t="str">
        <f>Unit_Rates!H72</f>
        <v>Replacement</v>
      </c>
      <c r="F72" s="339" t="str">
        <f t="shared" si="11"/>
        <v>Distribution system assetsReplacement</v>
      </c>
      <c r="G72" s="271">
        <f>Unit_Rates!I72</f>
        <v>0</v>
      </c>
      <c r="H72" s="430">
        <f>INDEX(Feeder_Vols!$E$7:$Q$13,MATCH($B$3,Feeder_Vols!$B$7:$B$12,0),MATCH(1,Feeder_Vols!$E$6:$N$6,0))+INDEX(Feeder_Vols!$E$7:$N$13,MATCH($B$3,Feeder_Vols!$B$7:$B$12,0),MATCH(6,Feeder_Vols!$E$6:$Q$6,0))</f>
        <v>38</v>
      </c>
      <c r="I72" s="212" t="s">
        <v>358</v>
      </c>
      <c r="J72" s="270"/>
      <c r="K72" s="271">
        <f t="shared" si="18"/>
        <v>0</v>
      </c>
      <c r="L72" s="271">
        <f t="shared" si="12"/>
        <v>0</v>
      </c>
      <c r="M72" s="271">
        <f>$H72*Unit_Rates!K72</f>
        <v>0</v>
      </c>
      <c r="N72" s="271">
        <f>$H72*Unit_Rates!L72</f>
        <v>19.782976744186044</v>
      </c>
      <c r="O72" s="271">
        <f>$H72*Unit_Rates!M72</f>
        <v>0</v>
      </c>
      <c r="P72" s="570">
        <f t="shared" si="13"/>
        <v>19.782976744186044</v>
      </c>
      <c r="Q72" s="278">
        <f>P72-H72*Unit_Rates!$E$72</f>
        <v>0</v>
      </c>
      <c r="R72" s="520"/>
      <c r="S72" s="520"/>
      <c r="T72" s="520"/>
      <c r="U72" s="520"/>
      <c r="V72" s="520"/>
      <c r="W72" s="520"/>
      <c r="X72" s="520"/>
      <c r="Y72" s="14">
        <f t="shared" si="15"/>
        <v>0</v>
      </c>
      <c r="Z72" s="15"/>
      <c r="AA72" s="15"/>
      <c r="AB72" s="15"/>
      <c r="AC72" s="15"/>
      <c r="AD72" s="15"/>
      <c r="AE72" s="15"/>
      <c r="AF72" s="15"/>
      <c r="AI72" s="5">
        <v>0</v>
      </c>
    </row>
    <row r="73" spans="2:35" x14ac:dyDescent="0.25">
      <c r="B73" s="239"/>
      <c r="C73" s="326" t="s">
        <v>689</v>
      </c>
      <c r="D73" s="161" t="str">
        <f>Unit_Rates!G73</f>
        <v>Distribution system assets</v>
      </c>
      <c r="E73" s="339" t="str">
        <f>Unit_Rates!H73</f>
        <v>Replacement</v>
      </c>
      <c r="F73" s="339" t="str">
        <f>D73&amp;E73</f>
        <v>Distribution system assetsReplacement</v>
      </c>
      <c r="G73" s="271">
        <f>Unit_Rates!I73</f>
        <v>0</v>
      </c>
      <c r="H73" s="430">
        <f>INDEX(Feeder_Vols!$E$7:$Q$13,MATCH($B$3,Feeder_Vols!$B$7:$B$12,0),MATCH(7,Feeder_Vols!$E$6:$Q$6,0))</f>
        <v>29</v>
      </c>
      <c r="I73" s="212" t="s">
        <v>355</v>
      </c>
      <c r="J73" s="270"/>
      <c r="K73" s="271">
        <f t="shared" si="18"/>
        <v>0</v>
      </c>
      <c r="L73" s="271">
        <f>SUMPRODUCT(R$5:X$5,R73:X73)/Thousands</f>
        <v>4.5608911752047305</v>
      </c>
      <c r="M73" s="271">
        <f>$H73*Unit_Rates!K73</f>
        <v>0</v>
      </c>
      <c r="N73" s="271">
        <f>$H73*Unit_Rates!L73</f>
        <v>84.699471274418585</v>
      </c>
      <c r="O73" s="271">
        <f>$H73*Unit_Rates!M73</f>
        <v>0</v>
      </c>
      <c r="P73" s="570">
        <f>SUM(K73:O73)</f>
        <v>89.260362449623315</v>
      </c>
      <c r="Q73" s="571">
        <f>P73-H73*Unit_Rates!$E73</f>
        <v>0.22251908218147776</v>
      </c>
      <c r="R73" s="627">
        <f t="shared" ref="R73:X74" si="19">$AI73*Z73*$H73</f>
        <v>0</v>
      </c>
      <c r="S73" s="627">
        <f t="shared" si="19"/>
        <v>0</v>
      </c>
      <c r="T73" s="627">
        <f t="shared" si="19"/>
        <v>0</v>
      </c>
      <c r="U73" s="627">
        <f t="shared" si="19"/>
        <v>0</v>
      </c>
      <c r="V73" s="627">
        <f t="shared" si="19"/>
        <v>0</v>
      </c>
      <c r="W73" s="627">
        <f t="shared" si="19"/>
        <v>0</v>
      </c>
      <c r="X73" s="627">
        <f t="shared" si="19"/>
        <v>35</v>
      </c>
      <c r="Y73" s="14">
        <f t="shared" si="15"/>
        <v>35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1</v>
      </c>
      <c r="AG73" s="16">
        <f>SUM(Z73:AF73)</f>
        <v>1</v>
      </c>
      <c r="AH73" t="b">
        <f>AG73=1</f>
        <v>1</v>
      </c>
      <c r="AI73" s="5">
        <v>1.2068965517241379</v>
      </c>
    </row>
    <row r="74" spans="2:35" x14ac:dyDescent="0.25">
      <c r="B74" s="239"/>
      <c r="C74" s="326" t="s">
        <v>699</v>
      </c>
      <c r="D74" s="161" t="str">
        <f>Unit_Rates!G74</f>
        <v>Distribution system assets</v>
      </c>
      <c r="E74" s="339" t="str">
        <f>Unit_Rates!H74</f>
        <v>Augmentation</v>
      </c>
      <c r="F74" s="339" t="str">
        <f>D74&amp;E74</f>
        <v>Distribution system assetsAugmentation</v>
      </c>
      <c r="G74" s="271">
        <f>Unit_Rates!I74</f>
        <v>11.725162831858405</v>
      </c>
      <c r="H74" s="430">
        <f>INDEX(Feeder_Vols!$E$7:$Q$13,MATCH($B$3,Feeder_Vols!$B$7:$B$12,0),MATCH(8,Feeder_Vols!$E$6:$Q$6,0))</f>
        <v>27</v>
      </c>
      <c r="I74" s="212" t="s">
        <v>698</v>
      </c>
      <c r="J74" s="270"/>
      <c r="K74" s="271">
        <f t="shared" si="18"/>
        <v>316.57939646017695</v>
      </c>
      <c r="L74" s="271">
        <f>SUMPRODUCT(R$5:X$5,R74:X74)/Thousands</f>
        <v>81</v>
      </c>
      <c r="M74" s="271">
        <f>$H74*Unit_Rates!K74</f>
        <v>40.5</v>
      </c>
      <c r="N74" s="271">
        <f>$H74*Unit_Rates!L74</f>
        <v>540</v>
      </c>
      <c r="O74" s="271">
        <f>$H74*Unit_Rates!M74</f>
        <v>0</v>
      </c>
      <c r="P74" s="570">
        <f>SUM(K74:O74)</f>
        <v>978.07939646017689</v>
      </c>
      <c r="Q74" s="571">
        <f>P74-H74*Unit_Rates!$E74</f>
        <v>0</v>
      </c>
      <c r="R74" s="627">
        <f t="shared" si="19"/>
        <v>0</v>
      </c>
      <c r="S74" s="627">
        <f t="shared" si="19"/>
        <v>0</v>
      </c>
      <c r="T74" s="627">
        <f t="shared" si="19"/>
        <v>0</v>
      </c>
      <c r="U74" s="627">
        <f t="shared" si="19"/>
        <v>0</v>
      </c>
      <c r="V74" s="627">
        <f t="shared" si="19"/>
        <v>0</v>
      </c>
      <c r="W74" s="627">
        <f t="shared" si="19"/>
        <v>0</v>
      </c>
      <c r="X74" s="627">
        <f t="shared" si="19"/>
        <v>621.58904720473663</v>
      </c>
      <c r="Y74" s="14">
        <f t="shared" si="15"/>
        <v>621.58904720473663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1</v>
      </c>
      <c r="AG74" s="16">
        <f>SUM(Z74:AF74)</f>
        <v>1</v>
      </c>
      <c r="AH74" t="b">
        <f>AG74=1</f>
        <v>1</v>
      </c>
      <c r="AI74" s="5">
        <v>23.021816563138394</v>
      </c>
    </row>
    <row r="75" spans="2:35" x14ac:dyDescent="0.25">
      <c r="B75" s="239"/>
      <c r="C75" s="326" t="s">
        <v>692</v>
      </c>
      <c r="D75" s="161" t="str">
        <f>Unit_Rates!G75</f>
        <v>Distribution system assets</v>
      </c>
      <c r="E75" s="339" t="str">
        <f>Unit_Rates!H75</f>
        <v>Augmentation</v>
      </c>
      <c r="F75" s="339" t="str">
        <f>D75&amp;E75</f>
        <v>Distribution system assetsAugmentation</v>
      </c>
      <c r="G75" s="271">
        <f>Unit_Rates!I75</f>
        <v>21.323700104130506</v>
      </c>
      <c r="H75" s="430">
        <f>INDEX(Feeder_Vols!$E$7:$Q$13,MATCH($B$3,Feeder_Vols!$B$7:$B$12,0),MATCH(9,Feeder_Vols!$E$6:$Q$6,0))</f>
        <v>2</v>
      </c>
      <c r="I75" s="212" t="s">
        <v>691</v>
      </c>
      <c r="J75" s="270"/>
      <c r="K75" s="321">
        <f t="shared" si="18"/>
        <v>42.647400208261011</v>
      </c>
      <c r="L75" s="321">
        <f t="shared" si="12"/>
        <v>13.759577114427916</v>
      </c>
      <c r="M75" s="321">
        <f>$H75*Unit_Rates!K75</f>
        <v>8.7803471017007961</v>
      </c>
      <c r="N75" s="321">
        <f>$H75*Unit_Rates!L75</f>
        <v>47.664741409232889</v>
      </c>
      <c r="O75" s="321">
        <f>$H75*Unit_Rates!M75</f>
        <v>12.543353002429708</v>
      </c>
      <c r="P75" s="566">
        <f t="shared" si="13"/>
        <v>125.39541883605233</v>
      </c>
      <c r="Q75" s="571">
        <f>P75-H75*Unit_Rates!$E75</f>
        <v>-3.8111188244755567E-2</v>
      </c>
      <c r="R75" s="627">
        <f t="shared" ref="R75:X75" si="20">$AI75*Z75*$H75</f>
        <v>26.050202328512878</v>
      </c>
      <c r="S75" s="627">
        <f t="shared" si="20"/>
        <v>27.884723619253222</v>
      </c>
      <c r="T75" s="627">
        <f t="shared" si="20"/>
        <v>31.997016193405724</v>
      </c>
      <c r="U75" s="627">
        <f t="shared" si="20"/>
        <v>0</v>
      </c>
      <c r="V75" s="627">
        <f t="shared" si="20"/>
        <v>0</v>
      </c>
      <c r="W75" s="627">
        <f t="shared" si="20"/>
        <v>0</v>
      </c>
      <c r="X75" s="627">
        <f t="shared" si="20"/>
        <v>0</v>
      </c>
      <c r="Y75" s="14">
        <f t="shared" si="15"/>
        <v>85.931942141171831</v>
      </c>
      <c r="Z75" s="15">
        <v>0.30314923274650013</v>
      </c>
      <c r="AA75" s="15">
        <v>0.32449777026385929</v>
      </c>
      <c r="AB75" s="15">
        <v>0.37235299698964064</v>
      </c>
      <c r="AC75" s="15">
        <v>0</v>
      </c>
      <c r="AD75" s="15">
        <v>0</v>
      </c>
      <c r="AE75" s="15">
        <v>0</v>
      </c>
      <c r="AF75" s="15">
        <v>0</v>
      </c>
      <c r="AG75" s="16">
        <f>SUM(Z75:AF75)</f>
        <v>1</v>
      </c>
      <c r="AH75" t="b">
        <f>AG75=1</f>
        <v>1</v>
      </c>
      <c r="AI75" s="5">
        <v>42.965971070585908</v>
      </c>
    </row>
    <row r="76" spans="2:35" x14ac:dyDescent="0.25">
      <c r="B76" s="239"/>
      <c r="C76" s="224" t="s">
        <v>317</v>
      </c>
      <c r="D76" s="224"/>
      <c r="E76" s="224"/>
      <c r="F76" s="224"/>
      <c r="G76" s="271"/>
      <c r="H76" s="219"/>
      <c r="I76" s="212"/>
      <c r="J76" s="161"/>
      <c r="K76" s="256">
        <v>1013.5891613196007</v>
      </c>
      <c r="L76" s="256">
        <v>324.61431705009687</v>
      </c>
      <c r="M76" s="271">
        <v>168.69832364219869</v>
      </c>
      <c r="N76" s="271">
        <v>2226.1165381549558</v>
      </c>
      <c r="O76" s="271">
        <v>167.67953423688482</v>
      </c>
      <c r="P76" s="271">
        <v>3900.6978744037369</v>
      </c>
      <c r="Q76" s="278"/>
      <c r="R76" s="521"/>
      <c r="S76" s="521"/>
      <c r="T76" s="521"/>
      <c r="U76" s="522"/>
      <c r="V76" s="522"/>
      <c r="W76" s="522"/>
      <c r="X76" s="522"/>
      <c r="AI76" s="5"/>
    </row>
    <row r="77" spans="2:35" x14ac:dyDescent="0.25">
      <c r="B77" s="239" t="s">
        <v>311</v>
      </c>
      <c r="C77" s="161"/>
      <c r="D77" s="161"/>
      <c r="E77" s="161"/>
      <c r="F77" s="161"/>
      <c r="G77" s="570"/>
      <c r="H77" s="219"/>
      <c r="I77" s="212"/>
      <c r="J77" s="161"/>
      <c r="K77" s="256"/>
      <c r="L77" s="256"/>
      <c r="M77" s="271"/>
      <c r="N77" s="271"/>
      <c r="O77" s="271"/>
      <c r="P77" s="570"/>
      <c r="R77" s="522"/>
      <c r="S77" s="522"/>
      <c r="T77" s="522"/>
      <c r="U77" s="522"/>
      <c r="V77" s="522"/>
      <c r="W77" s="522"/>
      <c r="X77" s="522"/>
      <c r="AI77" s="5"/>
    </row>
    <row r="78" spans="2:35" x14ac:dyDescent="0.25">
      <c r="B78" s="239"/>
      <c r="C78" s="161" t="s">
        <v>280</v>
      </c>
      <c r="D78" s="161" t="str">
        <f>Unit_Rates!G83</f>
        <v>Distribution system assets</v>
      </c>
      <c r="E78" s="161" t="str">
        <f>Unit_Rates!H83</f>
        <v>Replacement</v>
      </c>
      <c r="F78" s="161" t="str">
        <f>D78&amp;E78</f>
        <v>Distribution system assetsReplacement</v>
      </c>
      <c r="G78" s="570">
        <f>Unit_Rates!I83</f>
        <v>0.30495261811294533</v>
      </c>
      <c r="H78" s="431">
        <f>INDEX(Feeder_Vols!$B$18:$D$23,MATCH($B$3,Feeder_Vols!$B$18:$B$23,0),3)</f>
        <v>1559</v>
      </c>
      <c r="I78" s="254" t="s">
        <v>308</v>
      </c>
      <c r="J78" s="161"/>
      <c r="K78" s="256">
        <f>G78*H78</f>
        <v>475.42113163808176</v>
      </c>
      <c r="L78" s="256">
        <f>SUMPRODUCT(R$5:X$5,R78:X78)/Thousands</f>
        <v>243.17541158154023</v>
      </c>
      <c r="M78" s="271">
        <f>$H78*Unit_Rates!K83</f>
        <v>0</v>
      </c>
      <c r="N78" s="271">
        <f>$H78*Unit_Rates!L83</f>
        <v>910.85013034057647</v>
      </c>
      <c r="O78" s="271">
        <f>$H78*Unit_Rates!M83</f>
        <v>0</v>
      </c>
      <c r="P78" s="570">
        <f>SUM(K78:O78)</f>
        <v>1629.4466735601984</v>
      </c>
      <c r="Q78" s="277">
        <f>P78-H78*Unit_Rates!$E$83</f>
        <v>5.1605649511730007</v>
      </c>
      <c r="R78" s="627">
        <f t="shared" ref="R78:X78" si="21">$AI78*Z78*$H78</f>
        <v>43.318420838079106</v>
      </c>
      <c r="S78" s="627">
        <f t="shared" si="21"/>
        <v>0</v>
      </c>
      <c r="T78" s="627">
        <f t="shared" si="21"/>
        <v>540.738938950857</v>
      </c>
      <c r="U78" s="627">
        <f t="shared" si="21"/>
        <v>0</v>
      </c>
      <c r="V78" s="627">
        <f t="shared" si="21"/>
        <v>0</v>
      </c>
      <c r="W78" s="627">
        <f t="shared" si="21"/>
        <v>0</v>
      </c>
      <c r="X78" s="627">
        <f t="shared" si="21"/>
        <v>1099.6626402110642</v>
      </c>
      <c r="Y78" s="14">
        <f>SUM(R78:X78)</f>
        <v>1683.7200000000003</v>
      </c>
      <c r="Z78" s="15">
        <v>2.5727805595989302E-2</v>
      </c>
      <c r="AA78" s="15">
        <v>0</v>
      </c>
      <c r="AB78" s="15">
        <v>0.32115728206047139</v>
      </c>
      <c r="AC78" s="15">
        <v>0</v>
      </c>
      <c r="AD78" s="15">
        <v>0</v>
      </c>
      <c r="AE78" s="15">
        <v>0</v>
      </c>
      <c r="AF78" s="15">
        <v>0.65311491234353936</v>
      </c>
      <c r="AG78" s="16">
        <f>SUM(Z78:AF78)</f>
        <v>1</v>
      </c>
      <c r="AH78" t="b">
        <f>AG78=1</f>
        <v>1</v>
      </c>
      <c r="AI78" s="5">
        <v>1.08</v>
      </c>
    </row>
    <row r="79" spans="2:35" x14ac:dyDescent="0.25">
      <c r="B79" s="239"/>
      <c r="C79" s="161" t="s">
        <v>495</v>
      </c>
      <c r="D79" s="161" t="str">
        <f>Unit_Rates!G84</f>
        <v>Distribution system assets</v>
      </c>
      <c r="E79" s="161" t="str">
        <f>Unit_Rates!H84</f>
        <v>Replacement</v>
      </c>
      <c r="F79" s="161" t="str">
        <f>D79&amp;E79</f>
        <v>Distribution system assetsReplacement</v>
      </c>
      <c r="G79" s="271">
        <f>INDEX(Unit_Rates!$C$82:$K$87,MATCH($C79,Unit_Rates!$D$82:$D$87,0),7)</f>
        <v>0</v>
      </c>
      <c r="H79" s="431">
        <f>INDEX(Feeder_Vols!$H$18:$H$23,MATCH($B$3,Feeder_Vols!$G$18:$G$23,0),1)</f>
        <v>8</v>
      </c>
      <c r="I79" s="254" t="s">
        <v>308</v>
      </c>
      <c r="J79" s="161"/>
      <c r="K79" s="256">
        <f>G79*H79</f>
        <v>0</v>
      </c>
      <c r="L79" s="256">
        <f>SUMPRODUCT(R$5:X$5,R79:X79)/Thousands</f>
        <v>2.342961608775139</v>
      </c>
      <c r="M79" s="271">
        <f>$H79*Unit_Rates!K84</f>
        <v>0</v>
      </c>
      <c r="N79" s="271">
        <f>$H79*Unit_Rates!$L$84</f>
        <v>0</v>
      </c>
      <c r="O79" s="271">
        <f>$H79*Unit_Rates!M84</f>
        <v>0</v>
      </c>
      <c r="P79" s="570">
        <f>SUM(K79:O79)</f>
        <v>2.342961608775139</v>
      </c>
      <c r="Q79" s="571">
        <f>P79-H79*Unit_Rates!$E$84</f>
        <v>-1.2839496197236677E-2</v>
      </c>
      <c r="R79" s="627">
        <f t="shared" ref="R79:X80" si="22">$AI79*Z79*$H79</f>
        <v>0</v>
      </c>
      <c r="S79" s="627">
        <f t="shared" si="22"/>
        <v>0</v>
      </c>
      <c r="T79" s="627">
        <f t="shared" si="22"/>
        <v>0</v>
      </c>
      <c r="U79" s="627">
        <f t="shared" si="22"/>
        <v>0</v>
      </c>
      <c r="V79" s="627">
        <f t="shared" si="22"/>
        <v>14.785973786101117</v>
      </c>
      <c r="W79" s="627">
        <f t="shared" si="22"/>
        <v>0</v>
      </c>
      <c r="X79" s="627">
        <f t="shared" si="22"/>
        <v>0</v>
      </c>
      <c r="Y79" s="14">
        <f>SUM(R79:X79)</f>
        <v>14.785973786101117</v>
      </c>
      <c r="Z79" s="15"/>
      <c r="AA79" s="15"/>
      <c r="AB79" s="15"/>
      <c r="AC79" s="15"/>
      <c r="AD79" s="15">
        <v>1</v>
      </c>
      <c r="AE79" s="15"/>
      <c r="AF79" s="15"/>
      <c r="AG79" s="16">
        <f>SUM(Z79:AF79)</f>
        <v>1</v>
      </c>
      <c r="AH79" t="b">
        <f>AG79=1</f>
        <v>1</v>
      </c>
      <c r="AI79" s="47">
        <v>1.8482467232626396</v>
      </c>
    </row>
    <row r="80" spans="2:35" x14ac:dyDescent="0.25">
      <c r="B80" s="239"/>
      <c r="C80" s="161" t="s">
        <v>496</v>
      </c>
      <c r="D80" s="161" t="str">
        <f>Unit_Rates!G85</f>
        <v>Distribution system assets</v>
      </c>
      <c r="E80" s="161" t="str">
        <f>Unit_Rates!H85</f>
        <v>Replacement</v>
      </c>
      <c r="F80" s="161" t="str">
        <f>D80&amp;E80</f>
        <v>Distribution system assetsReplacement</v>
      </c>
      <c r="G80" s="271">
        <f>INDEX(Unit_Rates!$C$82:$K$87,MATCH($C80,Unit_Rates!$D$82:$D$87,0),7)</f>
        <v>0</v>
      </c>
      <c r="H80" s="431">
        <f>INDEX(Feeder_Vols!$I$18:$I$23,MATCH($B$3,Feeder_Vols!$G$18:$G$23,0),1)</f>
        <v>8</v>
      </c>
      <c r="I80" s="254" t="s">
        <v>308</v>
      </c>
      <c r="J80" s="161"/>
      <c r="K80" s="256">
        <f>G80*H80</f>
        <v>0</v>
      </c>
      <c r="L80" s="256">
        <f>SUMPRODUCT(R$5:X$5,R80:X80)/Thousands</f>
        <v>78.098720292504538</v>
      </c>
      <c r="M80" s="271"/>
      <c r="N80" s="271">
        <f>$H80*Unit_Rates!$L$85</f>
        <v>0</v>
      </c>
      <c r="O80" s="271"/>
      <c r="P80" s="570">
        <f>SUM(K80:O80)</f>
        <v>78.098720292504538</v>
      </c>
      <c r="Q80" s="607">
        <f>P80-H80*Unit_Rates!$E$85</f>
        <v>-0.42798320657465183</v>
      </c>
      <c r="R80" s="627">
        <f t="shared" si="22"/>
        <v>0</v>
      </c>
      <c r="S80" s="627">
        <f t="shared" si="22"/>
        <v>0</v>
      </c>
      <c r="T80" s="627">
        <f t="shared" si="22"/>
        <v>0</v>
      </c>
      <c r="U80" s="627">
        <f t="shared" si="22"/>
        <v>0</v>
      </c>
      <c r="V80" s="627">
        <f t="shared" si="22"/>
        <v>492.86579287003661</v>
      </c>
      <c r="W80" s="627">
        <f t="shared" si="22"/>
        <v>0</v>
      </c>
      <c r="X80" s="627">
        <f t="shared" si="22"/>
        <v>0</v>
      </c>
      <c r="Y80" s="14">
        <f>SUM(R80:X80)</f>
        <v>492.86579287003661</v>
      </c>
      <c r="Z80" s="15"/>
      <c r="AA80" s="15"/>
      <c r="AB80" s="15"/>
      <c r="AC80" s="15"/>
      <c r="AD80" s="15">
        <v>1</v>
      </c>
      <c r="AE80" s="15"/>
      <c r="AF80" s="15"/>
      <c r="AG80" s="16">
        <f>SUM(Z80:AF80)</f>
        <v>1</v>
      </c>
      <c r="AH80" t="b">
        <f>AG80=1</f>
        <v>1</v>
      </c>
      <c r="AI80" s="47">
        <v>61.608224108754577</v>
      </c>
    </row>
    <row r="81" spans="2:35" x14ac:dyDescent="0.25">
      <c r="B81" s="239"/>
      <c r="C81" s="161" t="s">
        <v>497</v>
      </c>
      <c r="D81" s="161" t="str">
        <f>Unit_Rates!G86</f>
        <v>Distribution system assets</v>
      </c>
      <c r="E81" s="161" t="str">
        <f>Unit_Rates!H86</f>
        <v>Replacement</v>
      </c>
      <c r="F81" s="161" t="str">
        <f>D81&amp;E81</f>
        <v>Distribution system assetsReplacement</v>
      </c>
      <c r="G81" s="271">
        <f>INDEX(Unit_Rates!$C$82:$K$87,MATCH($C81,Unit_Rates!$D$82:$D$87,0),7)</f>
        <v>4.9079189686924494</v>
      </c>
      <c r="H81" s="431">
        <f>INDEX(Feeder_Vols!$J$18:$J$23,MATCH($B$3,Feeder_Vols!$G$18:$G$23,0),1)</f>
        <v>6</v>
      </c>
      <c r="I81" s="254" t="s">
        <v>308</v>
      </c>
      <c r="J81" s="161"/>
      <c r="K81" s="256">
        <f>G81*H81</f>
        <v>29.447513812154696</v>
      </c>
      <c r="L81" s="256">
        <f>SUMPRODUCT(R$5:X$5,R81:X81)/Thousands</f>
        <v>0</v>
      </c>
      <c r="M81" s="271"/>
      <c r="N81" s="271">
        <f>$H81*Unit_Rates!$L$86</f>
        <v>95.704419889502759</v>
      </c>
      <c r="O81" s="271"/>
      <c r="P81" s="570">
        <f>SUM(K81:O81)</f>
        <v>125.15193370165746</v>
      </c>
      <c r="Q81" s="278">
        <f>P81-H81*Unit_Rates!$E$86</f>
        <v>0</v>
      </c>
      <c r="R81" s="520"/>
      <c r="S81" s="520"/>
      <c r="T81" s="520"/>
      <c r="U81" s="520"/>
      <c r="V81" s="520"/>
      <c r="W81" s="520"/>
      <c r="X81" s="520"/>
      <c r="Y81" s="14">
        <f>SUM(R81:X81)</f>
        <v>0</v>
      </c>
      <c r="Z81" s="15"/>
      <c r="AA81" s="15"/>
      <c r="AB81" s="15"/>
      <c r="AC81" s="15"/>
      <c r="AD81" s="15"/>
      <c r="AE81" s="15"/>
      <c r="AF81" s="15"/>
      <c r="AG81" s="16">
        <f>SUM(Z81:AF81)</f>
        <v>0</v>
      </c>
      <c r="AH81" t="b">
        <f>AG81=1</f>
        <v>0</v>
      </c>
      <c r="AI81" s="5"/>
    </row>
    <row r="82" spans="2:35" x14ac:dyDescent="0.25">
      <c r="B82" s="239"/>
      <c r="C82" s="161" t="s">
        <v>523</v>
      </c>
      <c r="D82" s="161" t="str">
        <f>Unit_Rates!G87</f>
        <v>Distribution system assets</v>
      </c>
      <c r="E82" s="161" t="str">
        <f>Unit_Rates!H87</f>
        <v>Replacement</v>
      </c>
      <c r="F82" s="161" t="str">
        <f>D82&amp;E82</f>
        <v>Distribution system assetsReplacement</v>
      </c>
      <c r="G82" s="271">
        <f>INDEX(Unit_Rates!$C$82:$K$87,MATCH($C82,Unit_Rates!$D$82:$D$87,0),7)</f>
        <v>4.7168141592920348E-2</v>
      </c>
      <c r="H82" s="431">
        <f>INDEX(Feeder_Vols!$K$18:$K$23,MATCH($B$3,Feeder_Vols!$G$18:$G$23,0),1)</f>
        <v>2774</v>
      </c>
      <c r="I82" s="254" t="s">
        <v>494</v>
      </c>
      <c r="J82" s="161"/>
      <c r="K82" s="256">
        <f>G82*H82</f>
        <v>130.84442477876104</v>
      </c>
      <c r="L82" s="256">
        <f>SUMPRODUCT(R$5:X$5,R82:X82)/Thousands</f>
        <v>0</v>
      </c>
      <c r="M82" s="271"/>
      <c r="N82" s="271">
        <f>$H82*Unit_Rates!$L$87</f>
        <v>1272.3411185429588</v>
      </c>
      <c r="O82" s="271"/>
      <c r="P82" s="570">
        <f>SUM(K82:O82)</f>
        <v>1403.1855433217199</v>
      </c>
      <c r="Q82" s="278">
        <f>P82-H82*Unit_Rates!$E$87</f>
        <v>0</v>
      </c>
      <c r="R82" s="520"/>
      <c r="S82" s="520"/>
      <c r="T82" s="520"/>
      <c r="U82" s="520"/>
      <c r="V82" s="520"/>
      <c r="W82" s="520"/>
      <c r="X82" s="520"/>
      <c r="Y82" s="14">
        <f>SUM(R82:X82)</f>
        <v>0</v>
      </c>
      <c r="Z82" s="15"/>
      <c r="AA82" s="15"/>
      <c r="AB82" s="15"/>
      <c r="AC82" s="15"/>
      <c r="AD82" s="15"/>
      <c r="AE82" s="15"/>
      <c r="AF82" s="15"/>
      <c r="AG82" s="16">
        <f>SUM(Z82:AF82)</f>
        <v>0</v>
      </c>
      <c r="AH82" t="b">
        <f>AG82=1</f>
        <v>0</v>
      </c>
      <c r="AI82" s="5"/>
    </row>
    <row r="83" spans="2:35" x14ac:dyDescent="0.25">
      <c r="B83" s="239" t="s">
        <v>46</v>
      </c>
      <c r="C83" s="161"/>
      <c r="D83" s="161"/>
      <c r="E83" s="161"/>
      <c r="F83" s="161"/>
      <c r="G83" s="570"/>
      <c r="H83" s="219"/>
      <c r="I83" s="212"/>
      <c r="J83" s="161"/>
      <c r="K83" s="256"/>
      <c r="L83" s="256"/>
      <c r="M83" s="271"/>
      <c r="N83" s="271"/>
      <c r="O83" s="271"/>
      <c r="P83" s="570"/>
      <c r="R83" s="523"/>
      <c r="S83" s="522"/>
      <c r="T83" s="522"/>
      <c r="U83" s="522"/>
      <c r="V83" s="522"/>
      <c r="W83" s="522"/>
      <c r="X83" s="522"/>
      <c r="Z83" s="15"/>
      <c r="AA83" s="15"/>
      <c r="AB83" s="15"/>
      <c r="AC83" s="15"/>
      <c r="AD83" s="15"/>
      <c r="AE83" s="15"/>
      <c r="AF83" s="15"/>
      <c r="AI83" s="5"/>
    </row>
    <row r="84" spans="2:35" x14ac:dyDescent="0.25">
      <c r="B84" s="239"/>
      <c r="C84" s="161" t="s">
        <v>237</v>
      </c>
      <c r="D84" s="161" t="str">
        <f>Unit_Rates!G93</f>
        <v>Distribution system assets</v>
      </c>
      <c r="E84" s="161" t="str">
        <f>Unit_Rates!H93</f>
        <v>Replacement</v>
      </c>
      <c r="F84" s="161" t="str">
        <f>D84&amp;E84</f>
        <v>Distribution system assetsReplacement</v>
      </c>
      <c r="G84" s="570">
        <f>Unit_Rates!I93</f>
        <v>14.150442477876103</v>
      </c>
      <c r="H84" s="432">
        <f>INDEX(Feeder_Vols!$B$29:$F$34,MATCH($B$3,Feeder_Vols!$B$29:$B$34,0),2)</f>
        <v>5</v>
      </c>
      <c r="I84" s="252" t="s">
        <v>308</v>
      </c>
      <c r="J84" s="161"/>
      <c r="K84" s="256">
        <f>G84*H84</f>
        <v>70.752212389380517</v>
      </c>
      <c r="L84" s="256">
        <f>SUMPRODUCT(R$5:X$5,R84:X84)/Thousands</f>
        <v>11.544781663615318</v>
      </c>
      <c r="M84" s="271">
        <f>$H84*Unit_Rates!K93</f>
        <v>22.015996283367706</v>
      </c>
      <c r="N84" s="271">
        <f>$H84*Unit_Rates!L93</f>
        <v>150.72305414541827</v>
      </c>
      <c r="O84" s="271">
        <f>$H84*Unit_Rates!M93</f>
        <v>0</v>
      </c>
      <c r="P84" s="570">
        <f>SUM(K84:O84)</f>
        <v>255.03604448178183</v>
      </c>
      <c r="Q84" s="277">
        <f>P84-(H84*Unit_Rates!$E$93)</f>
        <v>4.513887488775481E-2</v>
      </c>
      <c r="R84" s="627">
        <f t="shared" ref="R84:X87" si="23">$AI84*Z84*$H84</f>
        <v>21.857059681022662</v>
      </c>
      <c r="S84" s="627">
        <f t="shared" si="23"/>
        <v>23.396289236024259</v>
      </c>
      <c r="T84" s="627">
        <f t="shared" si="23"/>
        <v>26.846651082953091</v>
      </c>
      <c r="U84" s="627">
        <f t="shared" si="23"/>
        <v>0</v>
      </c>
      <c r="V84" s="627">
        <f t="shared" si="23"/>
        <v>0</v>
      </c>
      <c r="W84" s="627">
        <f t="shared" si="23"/>
        <v>0</v>
      </c>
      <c r="X84" s="627">
        <f t="shared" si="23"/>
        <v>0</v>
      </c>
      <c r="Y84" s="14">
        <f t="shared" ref="Y84:Y92" si="24">SUM(R84:X84)</f>
        <v>72.100000000000009</v>
      </c>
      <c r="Z84" s="15">
        <v>0.30314923274650013</v>
      </c>
      <c r="AA84" s="15">
        <v>0.32449777026385929</v>
      </c>
      <c r="AB84" s="15">
        <v>0.37235299698964058</v>
      </c>
      <c r="AC84" s="15">
        <v>0</v>
      </c>
      <c r="AD84" s="15">
        <v>0</v>
      </c>
      <c r="AE84" s="15">
        <v>0</v>
      </c>
      <c r="AF84" s="15">
        <v>0</v>
      </c>
      <c r="AG84" s="16">
        <f>SUM(Z84:AF84)</f>
        <v>1</v>
      </c>
      <c r="AH84" t="b">
        <f t="shared" ref="AH84:AH92" si="25">AG84=1</f>
        <v>1</v>
      </c>
      <c r="AI84" s="5">
        <v>14.420000000000002</v>
      </c>
    </row>
    <row r="85" spans="2:35" x14ac:dyDescent="0.25">
      <c r="B85" s="239"/>
      <c r="C85" s="161" t="s">
        <v>239</v>
      </c>
      <c r="D85" s="161" t="str">
        <f>Unit_Rates!G94</f>
        <v>Distribution system assets</v>
      </c>
      <c r="E85" s="161" t="str">
        <f>Unit_Rates!H94</f>
        <v>Replacement</v>
      </c>
      <c r="F85" s="161" t="str">
        <f>D85&amp;E85</f>
        <v>Distribution system assetsReplacement</v>
      </c>
      <c r="G85" s="570">
        <f>Unit_Rates!I94</f>
        <v>21.323700104130506</v>
      </c>
      <c r="H85" s="432">
        <f>INDEX(Feeder_Vols!$B$29:$F$34,MATCH($B$3,Feeder_Vols!$B$29:$B$34,0),3)</f>
        <v>9</v>
      </c>
      <c r="I85" s="252" t="s">
        <v>308</v>
      </c>
      <c r="J85" s="161"/>
      <c r="K85" s="256">
        <f>G85*H85</f>
        <v>191.91330093717454</v>
      </c>
      <c r="L85" s="256">
        <f>SUMPRODUCT(R$5:X$5,R85:X85)/Thousands</f>
        <v>61.918097014925635</v>
      </c>
      <c r="M85" s="271">
        <f>$H85*Unit_Rates!K94</f>
        <v>39.511561957653583</v>
      </c>
      <c r="N85" s="271">
        <f>$H85*Unit_Rates!L94</f>
        <v>214.49133634154799</v>
      </c>
      <c r="O85" s="271">
        <f>$H85*Unit_Rates!M94</f>
        <v>56.445088510933687</v>
      </c>
      <c r="P85" s="570">
        <f>SUM(K85:O85)</f>
        <v>564.2793847622354</v>
      </c>
      <c r="Q85" s="277">
        <f>P85-(H85*Unit_Rates!$E$94)</f>
        <v>-0.17150034710152795</v>
      </c>
      <c r="R85" s="627">
        <f t="shared" si="23"/>
        <v>117.22591047830795</v>
      </c>
      <c r="S85" s="627">
        <f t="shared" si="23"/>
        <v>125.48125628663951</v>
      </c>
      <c r="T85" s="627">
        <f t="shared" si="23"/>
        <v>143.98657287032574</v>
      </c>
      <c r="U85" s="627">
        <f t="shared" si="23"/>
        <v>0</v>
      </c>
      <c r="V85" s="627">
        <f t="shared" si="23"/>
        <v>0</v>
      </c>
      <c r="W85" s="627">
        <f t="shared" si="23"/>
        <v>0</v>
      </c>
      <c r="X85" s="627">
        <f t="shared" si="23"/>
        <v>0</v>
      </c>
      <c r="Y85" s="14">
        <f t="shared" si="24"/>
        <v>386.69373963527323</v>
      </c>
      <c r="Z85" s="15">
        <v>0.30314923274650013</v>
      </c>
      <c r="AA85" s="15">
        <v>0.32449777026385929</v>
      </c>
      <c r="AB85" s="15">
        <v>0.37235299698964064</v>
      </c>
      <c r="AC85" s="15">
        <v>0</v>
      </c>
      <c r="AD85" s="15">
        <v>0</v>
      </c>
      <c r="AE85" s="15">
        <v>0</v>
      </c>
      <c r="AF85" s="15">
        <v>0</v>
      </c>
      <c r="AG85" s="16">
        <f>SUM(Z85:AF85)</f>
        <v>1</v>
      </c>
      <c r="AH85" t="b">
        <f t="shared" si="25"/>
        <v>1</v>
      </c>
      <c r="AI85" s="5">
        <v>42.965971070585908</v>
      </c>
    </row>
    <row r="86" spans="2:35" x14ac:dyDescent="0.25">
      <c r="B86" s="239"/>
      <c r="C86" s="161" t="s">
        <v>241</v>
      </c>
      <c r="D86" s="161" t="str">
        <f>Unit_Rates!G95</f>
        <v>Distribution system assets</v>
      </c>
      <c r="E86" s="161" t="str">
        <f>Unit_Rates!H95</f>
        <v>Replacement</v>
      </c>
      <c r="F86" s="161" t="str">
        <f>D86&amp;E86</f>
        <v>Distribution system assetsReplacement</v>
      </c>
      <c r="G86" s="570">
        <f>Unit_Rates!I95</f>
        <v>14.297621705426357</v>
      </c>
      <c r="H86" s="432">
        <f>INDEX(Feeder_Vols!$B$29:$F$34,MATCH($B$3,Feeder_Vols!$B$29:$B$34,0),4)</f>
        <v>0</v>
      </c>
      <c r="I86" s="252" t="s">
        <v>308</v>
      </c>
      <c r="J86" s="161"/>
      <c r="K86" s="256">
        <f>G86*H86</f>
        <v>0</v>
      </c>
      <c r="L86" s="256">
        <f>SUMPRODUCT(R$5:X$5,R86:X86)/Thousands</f>
        <v>0</v>
      </c>
      <c r="M86" s="271">
        <f>$H86*Unit_Rates!K95</f>
        <v>0</v>
      </c>
      <c r="N86" s="271">
        <f>$H86*Unit_Rates!L95</f>
        <v>0</v>
      </c>
      <c r="O86" s="271">
        <f>$H86*Unit_Rates!M95</f>
        <v>0</v>
      </c>
      <c r="P86" s="570">
        <f>SUM(K86:O86)</f>
        <v>0</v>
      </c>
      <c r="Q86" s="277">
        <f>P86-(H86*Unit_Rates!$E$95)</f>
        <v>0</v>
      </c>
      <c r="R86" s="627">
        <f t="shared" si="23"/>
        <v>0</v>
      </c>
      <c r="S86" s="627">
        <f t="shared" si="23"/>
        <v>0</v>
      </c>
      <c r="T86" s="627">
        <f t="shared" si="23"/>
        <v>0</v>
      </c>
      <c r="U86" s="627">
        <f t="shared" si="23"/>
        <v>0</v>
      </c>
      <c r="V86" s="627">
        <f t="shared" si="23"/>
        <v>0</v>
      </c>
      <c r="W86" s="627">
        <f t="shared" si="23"/>
        <v>0</v>
      </c>
      <c r="X86" s="627">
        <f t="shared" si="23"/>
        <v>0</v>
      </c>
      <c r="Y86" s="14">
        <f t="shared" si="24"/>
        <v>0</v>
      </c>
      <c r="Z86" s="15">
        <v>0.11818857666880556</v>
      </c>
      <c r="AA86" s="15">
        <v>0.49778875974979209</v>
      </c>
      <c r="AB86" s="15">
        <v>0.3840226635814023</v>
      </c>
      <c r="AC86" s="15">
        <v>0</v>
      </c>
      <c r="AD86" s="15">
        <v>0</v>
      </c>
      <c r="AE86" s="15">
        <v>0</v>
      </c>
      <c r="AF86" s="15">
        <v>0</v>
      </c>
      <c r="AG86" s="16">
        <f>SUM(Z86:AF86)</f>
        <v>1</v>
      </c>
      <c r="AH86" t="b">
        <f t="shared" si="25"/>
        <v>1</v>
      </c>
      <c r="AI86" s="5">
        <v>144.70421211980818</v>
      </c>
    </row>
    <row r="87" spans="2:35" x14ac:dyDescent="0.25">
      <c r="B87" s="239"/>
      <c r="C87" s="161" t="s">
        <v>243</v>
      </c>
      <c r="D87" s="161" t="str">
        <f>Unit_Rates!G96</f>
        <v>Distribution system assets</v>
      </c>
      <c r="E87" s="161" t="str">
        <f>Unit_Rates!H96</f>
        <v>Replacement</v>
      </c>
      <c r="F87" s="161" t="str">
        <f>D87&amp;E87</f>
        <v>Distribution system assetsReplacement</v>
      </c>
      <c r="G87" s="570">
        <f>Unit_Rates!I96</f>
        <v>182.28643631627907</v>
      </c>
      <c r="H87" s="432">
        <f>INDEX(Feeder_Vols!$B$29:$F$34,MATCH($B$3,Feeder_Vols!$B$29:$B$34,0),5)</f>
        <v>0</v>
      </c>
      <c r="I87" s="252" t="s">
        <v>308</v>
      </c>
      <c r="J87" s="161"/>
      <c r="K87" s="256">
        <f>G87*H87</f>
        <v>0</v>
      </c>
      <c r="L87" s="256">
        <f>SUMPRODUCT(R$5:X$5,R87:X87)/Thousands</f>
        <v>0</v>
      </c>
      <c r="M87" s="271">
        <f>$H87*Unit_Rates!K96</f>
        <v>0</v>
      </c>
      <c r="N87" s="271">
        <f>$H87*Unit_Rates!L96</f>
        <v>0</v>
      </c>
      <c r="O87" s="271">
        <f>$H87*Unit_Rates!M96</f>
        <v>0</v>
      </c>
      <c r="P87" s="570">
        <f>SUM(K87:O87)</f>
        <v>0</v>
      </c>
      <c r="Q87" s="277">
        <f>P87-(H87*Unit_Rates!$E$96)</f>
        <v>0</v>
      </c>
      <c r="R87" s="627">
        <f t="shared" si="23"/>
        <v>0</v>
      </c>
      <c r="S87" s="627">
        <f t="shared" si="23"/>
        <v>0</v>
      </c>
      <c r="T87" s="627">
        <f t="shared" si="23"/>
        <v>0</v>
      </c>
      <c r="U87" s="627">
        <f t="shared" si="23"/>
        <v>0</v>
      </c>
      <c r="V87" s="627">
        <f t="shared" si="23"/>
        <v>0</v>
      </c>
      <c r="W87" s="627">
        <f t="shared" si="23"/>
        <v>0</v>
      </c>
      <c r="X87" s="627">
        <f t="shared" si="23"/>
        <v>0</v>
      </c>
      <c r="Y87" s="14">
        <f t="shared" si="24"/>
        <v>0</v>
      </c>
      <c r="Z87" s="15">
        <v>0.69942688247564233</v>
      </c>
      <c r="AA87" s="15">
        <v>4.8454943655496512E-2</v>
      </c>
      <c r="AB87" s="15">
        <v>0.25211817386886121</v>
      </c>
      <c r="AC87" s="15">
        <v>0</v>
      </c>
      <c r="AD87" s="15">
        <v>0</v>
      </c>
      <c r="AE87" s="15">
        <v>0</v>
      </c>
      <c r="AF87" s="15">
        <v>0</v>
      </c>
      <c r="AG87" s="16">
        <f>SUM(Z87:AF87)</f>
        <v>1</v>
      </c>
      <c r="AH87" t="b">
        <f t="shared" si="25"/>
        <v>1</v>
      </c>
      <c r="AI87" s="5">
        <v>220.41130997006761</v>
      </c>
    </row>
    <row r="88" spans="2:35" x14ac:dyDescent="0.25">
      <c r="B88" s="239" t="s">
        <v>312</v>
      </c>
      <c r="C88" s="161"/>
      <c r="D88" s="161"/>
      <c r="E88" s="161"/>
      <c r="F88" s="161"/>
      <c r="G88" s="570"/>
      <c r="H88" s="219"/>
      <c r="I88" s="252"/>
      <c r="J88" s="161"/>
      <c r="K88" s="256"/>
      <c r="L88" s="256"/>
      <c r="M88" s="271"/>
      <c r="N88" s="271"/>
      <c r="O88" s="271"/>
      <c r="P88" s="570"/>
      <c r="R88" s="522"/>
      <c r="S88" s="522"/>
      <c r="T88" s="522"/>
      <c r="U88" s="522"/>
      <c r="V88" s="522"/>
      <c r="W88" s="522"/>
      <c r="X88" s="522"/>
      <c r="Y88" s="14">
        <f t="shared" si="24"/>
        <v>0</v>
      </c>
    </row>
    <row r="89" spans="2:35" x14ac:dyDescent="0.25">
      <c r="B89" s="220"/>
      <c r="C89" s="161" t="s">
        <v>535</v>
      </c>
      <c r="D89" s="161" t="str">
        <f>Unit_Rates!G102</f>
        <v>Distribution system assets</v>
      </c>
      <c r="E89" s="161" t="str">
        <f>Unit_Rates!H102</f>
        <v>Augmentation</v>
      </c>
      <c r="F89" s="161" t="str">
        <f>D89&amp;E89</f>
        <v>Distribution system assetsAugmentation</v>
      </c>
      <c r="G89" s="570">
        <f>Unit_Rates!I102</f>
        <v>0</v>
      </c>
      <c r="H89" s="431">
        <f>INDEX(Feeder_Vols!$C$39:$F$44,MATCH($B$3,Feeder_Vols!$B$39:$B$44,0),1)</f>
        <v>0</v>
      </c>
      <c r="I89" s="252" t="s">
        <v>308</v>
      </c>
      <c r="J89" s="161"/>
      <c r="K89" s="256">
        <f>G89*H89</f>
        <v>0</v>
      </c>
      <c r="L89" s="256">
        <f>SUMPRODUCT(R$5:X$5,R89:X89)/Thousands</f>
        <v>0</v>
      </c>
      <c r="M89" s="271">
        <f>$H89*Unit_Rates!K102</f>
        <v>0</v>
      </c>
      <c r="N89" s="271">
        <f>$H89*Unit_Rates!L102</f>
        <v>0</v>
      </c>
      <c r="O89" s="271">
        <f>$H89*Unit_Rates!M102</f>
        <v>0</v>
      </c>
      <c r="P89" s="570">
        <f>SUM(K89:O89)</f>
        <v>0</v>
      </c>
      <c r="Q89" s="277">
        <f>P89-H89*Unit_Rates!$E$102</f>
        <v>0</v>
      </c>
      <c r="R89" s="627">
        <f t="shared" ref="R89:X92" si="26">$AI89*Z89*$H89</f>
        <v>0</v>
      </c>
      <c r="S89" s="627">
        <f t="shared" si="26"/>
        <v>0</v>
      </c>
      <c r="T89" s="627">
        <f t="shared" si="26"/>
        <v>0</v>
      </c>
      <c r="U89" s="627">
        <f t="shared" si="26"/>
        <v>0</v>
      </c>
      <c r="V89" s="627">
        <f t="shared" si="26"/>
        <v>0</v>
      </c>
      <c r="W89" s="627">
        <f t="shared" si="26"/>
        <v>0</v>
      </c>
      <c r="X89" s="627">
        <f t="shared" si="26"/>
        <v>0</v>
      </c>
      <c r="Y89" s="14">
        <f t="shared" si="24"/>
        <v>0</v>
      </c>
      <c r="Z89" s="15">
        <v>0.18112413889844414</v>
      </c>
      <c r="AA89" s="15">
        <v>0.21477521965386426</v>
      </c>
      <c r="AB89" s="15">
        <v>0.6041006414476916</v>
      </c>
      <c r="AC89" s="15">
        <v>0</v>
      </c>
      <c r="AD89" s="15">
        <v>0</v>
      </c>
      <c r="AE89" s="15">
        <v>0</v>
      </c>
      <c r="AF89" s="15">
        <v>0</v>
      </c>
      <c r="AG89" s="16">
        <f>SUM(Z89:AF89)</f>
        <v>1</v>
      </c>
      <c r="AH89" t="b">
        <f t="shared" si="25"/>
        <v>1</v>
      </c>
      <c r="AI89" s="5">
        <v>469.77670058953754</v>
      </c>
    </row>
    <row r="90" spans="2:35" x14ac:dyDescent="0.25">
      <c r="B90" s="220"/>
      <c r="C90" s="161" t="s">
        <v>467</v>
      </c>
      <c r="D90" s="161" t="str">
        <f>Unit_Rates!G103</f>
        <v>Distribution system assets</v>
      </c>
      <c r="E90" s="161" t="str">
        <f>Unit_Rates!H103</f>
        <v>Augmentation</v>
      </c>
      <c r="F90" s="161" t="str">
        <f>D90&amp;E90</f>
        <v>Distribution system assetsAugmentation</v>
      </c>
      <c r="G90" s="570">
        <f>Unit_Rates!I103</f>
        <v>0</v>
      </c>
      <c r="H90" s="431">
        <f>INDEX(Feeder_Vols!$C$39:$F$44,MATCH($B$3,Feeder_Vols!$B$39:$B$44,0),2)</f>
        <v>0</v>
      </c>
      <c r="I90" s="252" t="s">
        <v>308</v>
      </c>
      <c r="J90" s="161"/>
      <c r="K90" s="256">
        <f>G90*H90</f>
        <v>0</v>
      </c>
      <c r="L90" s="256">
        <f>SUMPRODUCT(R$5:X$5,R90:X90)/Thousands</f>
        <v>0</v>
      </c>
      <c r="M90" s="271">
        <f>$H90*Unit_Rates!K103</f>
        <v>0</v>
      </c>
      <c r="N90" s="271">
        <f>$H90*Unit_Rates!L103</f>
        <v>0</v>
      </c>
      <c r="O90" s="271">
        <f>$H90*Unit_Rates!M103</f>
        <v>0</v>
      </c>
      <c r="P90" s="570">
        <f>SUM(K90:O90)</f>
        <v>0</v>
      </c>
      <c r="Q90" s="277">
        <f>P90-H90*Unit_Rates!$E$102</f>
        <v>0</v>
      </c>
      <c r="R90" s="627">
        <f t="shared" si="26"/>
        <v>0</v>
      </c>
      <c r="S90" s="627">
        <f t="shared" si="26"/>
        <v>0</v>
      </c>
      <c r="T90" s="627">
        <f t="shared" si="26"/>
        <v>0</v>
      </c>
      <c r="U90" s="627">
        <f t="shared" si="26"/>
        <v>0</v>
      </c>
      <c r="V90" s="627">
        <f t="shared" si="26"/>
        <v>0</v>
      </c>
      <c r="W90" s="627">
        <f t="shared" si="26"/>
        <v>0</v>
      </c>
      <c r="X90" s="627">
        <f t="shared" si="26"/>
        <v>0</v>
      </c>
      <c r="Y90" s="14">
        <f t="shared" si="24"/>
        <v>0</v>
      </c>
      <c r="Z90" s="15">
        <v>0.18112413889844414</v>
      </c>
      <c r="AA90" s="15">
        <v>0.42955043930772852</v>
      </c>
      <c r="AB90" s="15">
        <v>0.3893254217938274</v>
      </c>
      <c r="AC90" s="15">
        <v>0</v>
      </c>
      <c r="AD90" s="15">
        <v>0</v>
      </c>
      <c r="AE90" s="15">
        <v>0</v>
      </c>
      <c r="AF90" s="15">
        <v>0</v>
      </c>
      <c r="AG90" s="16">
        <f>SUM(Z90:AF90)</f>
        <v>1</v>
      </c>
      <c r="AH90" t="b">
        <f t="shared" si="25"/>
        <v>1</v>
      </c>
      <c r="AI90" s="5">
        <v>500.15046310508262</v>
      </c>
    </row>
    <row r="91" spans="2:35" x14ac:dyDescent="0.25">
      <c r="B91" s="220"/>
      <c r="C91" s="161" t="s">
        <v>466</v>
      </c>
      <c r="D91" s="161" t="str">
        <f>Unit_Rates!G104</f>
        <v>Distribution system assets</v>
      </c>
      <c r="E91" s="161" t="str">
        <f>Unit_Rates!H104</f>
        <v>Augmentation</v>
      </c>
      <c r="F91" s="161" t="str">
        <f>D91&amp;E91</f>
        <v>Distribution system assetsAugmentation</v>
      </c>
      <c r="G91" s="570">
        <f>Unit_Rates!I104</f>
        <v>0</v>
      </c>
      <c r="H91" s="431">
        <f>INDEX(Feeder_Vols!$C$39:$F$44,MATCH($B$3,Feeder_Vols!$B$39:$B$44,0),3)</f>
        <v>0</v>
      </c>
      <c r="I91" s="252" t="s">
        <v>308</v>
      </c>
      <c r="J91" s="161"/>
      <c r="K91" s="256">
        <f>G91*H91</f>
        <v>0</v>
      </c>
      <c r="L91" s="256">
        <f>SUMPRODUCT(R$5:X$5,R91:X91)/Thousands</f>
        <v>0</v>
      </c>
      <c r="M91" s="271">
        <f>$H91*Unit_Rates!K104</f>
        <v>0</v>
      </c>
      <c r="N91" s="271">
        <f>$H91*Unit_Rates!L104</f>
        <v>0</v>
      </c>
      <c r="O91" s="271">
        <f>$H91*Unit_Rates!M104</f>
        <v>0</v>
      </c>
      <c r="P91" s="570">
        <f>SUM(K91:O91)</f>
        <v>0</v>
      </c>
      <c r="Q91" s="277">
        <f>P91-H91*Unit_Rates!$E$102</f>
        <v>0</v>
      </c>
      <c r="R91" s="627">
        <f t="shared" si="26"/>
        <v>0</v>
      </c>
      <c r="S91" s="627">
        <f t="shared" si="26"/>
        <v>0</v>
      </c>
      <c r="T91" s="627">
        <f t="shared" si="26"/>
        <v>0</v>
      </c>
      <c r="U91" s="627">
        <f t="shared" si="26"/>
        <v>0</v>
      </c>
      <c r="V91" s="627">
        <f t="shared" si="26"/>
        <v>0</v>
      </c>
      <c r="W91" s="627">
        <f t="shared" si="26"/>
        <v>0</v>
      </c>
      <c r="X91" s="627">
        <f t="shared" si="26"/>
        <v>0</v>
      </c>
      <c r="Y91" s="14">
        <f t="shared" si="24"/>
        <v>0</v>
      </c>
      <c r="Z91" s="15">
        <v>0.18112413889844414</v>
      </c>
      <c r="AA91" s="15">
        <v>0.42955043930772852</v>
      </c>
      <c r="AB91" s="15">
        <v>0.3893254217938274</v>
      </c>
      <c r="AC91" s="15">
        <v>0</v>
      </c>
      <c r="AD91" s="15">
        <v>0</v>
      </c>
      <c r="AE91" s="15">
        <v>0</v>
      </c>
      <c r="AF91" s="15">
        <v>0</v>
      </c>
      <c r="AG91" s="16">
        <f>SUM(Z91:AF91)</f>
        <v>1</v>
      </c>
      <c r="AH91" t="b">
        <f t="shared" si="25"/>
        <v>1</v>
      </c>
      <c r="AI91" s="5">
        <v>416.11120533381393</v>
      </c>
    </row>
    <row r="92" spans="2:35" x14ac:dyDescent="0.25">
      <c r="B92" s="220"/>
      <c r="C92" s="224" t="s">
        <v>311</v>
      </c>
      <c r="D92" s="161" t="str">
        <f>Unit_Rates!G105</f>
        <v>Distribution system assets</v>
      </c>
      <c r="E92" s="161" t="str">
        <f>Unit_Rates!H105</f>
        <v>Replacement</v>
      </c>
      <c r="F92" s="161" t="str">
        <f>D92&amp;E92</f>
        <v>Distribution system assetsReplacement</v>
      </c>
      <c r="G92" s="570">
        <f>Unit_Rates!I105</f>
        <v>30.885851347412974</v>
      </c>
      <c r="H92" s="431">
        <f>INDEX(Feeder_Vols!$C$39:$I$44,MATCH($B$3,Feeder_Vols!$B$39:$B$44,0),7)</f>
        <v>2</v>
      </c>
      <c r="I92" s="252" t="s">
        <v>308</v>
      </c>
      <c r="J92" s="161"/>
      <c r="K92" s="256">
        <f>G92*H92</f>
        <v>61.771702694825947</v>
      </c>
      <c r="L92" s="256">
        <f>SUMPRODUCT(R$5:X$5,R92:X92)/Thousands</f>
        <v>19.554074018872438</v>
      </c>
      <c r="M92" s="271">
        <f>$H92*Unit_Rates!K105</f>
        <v>12.419924783703831</v>
      </c>
      <c r="N92" s="271">
        <f>$H92*Unit_Rates!L105</f>
        <v>67.067593832000654</v>
      </c>
      <c r="O92" s="271">
        <f>$H92*Unit_Rates!M105</f>
        <v>18.113506805249713</v>
      </c>
      <c r="P92" s="570">
        <f>SUM(K92:O92)</f>
        <v>178.92680213465258</v>
      </c>
      <c r="Q92" s="607">
        <f>P92-H92*Unit_Rates!$E$105</f>
        <v>7.7975484360365499E-2</v>
      </c>
      <c r="R92" s="627">
        <f t="shared" si="26"/>
        <v>37.0205843030026</v>
      </c>
      <c r="S92" s="627">
        <f t="shared" si="26"/>
        <v>39.627667704622496</v>
      </c>
      <c r="T92" s="627">
        <f t="shared" si="26"/>
        <v>45.471747992374915</v>
      </c>
      <c r="U92" s="627">
        <f t="shared" si="26"/>
        <v>0</v>
      </c>
      <c r="V92" s="627">
        <f t="shared" si="26"/>
        <v>0</v>
      </c>
      <c r="W92" s="627">
        <f t="shared" si="26"/>
        <v>0</v>
      </c>
      <c r="X92" s="627">
        <f t="shared" si="26"/>
        <v>0</v>
      </c>
      <c r="Y92" s="14">
        <f t="shared" si="24"/>
        <v>122.12000000000002</v>
      </c>
      <c r="Z92" s="15">
        <v>0.30314923274650013</v>
      </c>
      <c r="AA92" s="15">
        <v>0.32449777026385929</v>
      </c>
      <c r="AB92" s="15">
        <v>0.37235299698964064</v>
      </c>
      <c r="AC92" s="15">
        <v>0</v>
      </c>
      <c r="AD92" s="15">
        <v>0</v>
      </c>
      <c r="AE92" s="15">
        <v>0</v>
      </c>
      <c r="AF92" s="15">
        <v>0</v>
      </c>
      <c r="AG92" s="16">
        <f>SUM(Z92:AF92)</f>
        <v>1</v>
      </c>
      <c r="AH92" t="b">
        <f t="shared" si="25"/>
        <v>1</v>
      </c>
      <c r="AI92" s="5">
        <v>61.06</v>
      </c>
    </row>
    <row r="93" spans="2:35" x14ac:dyDescent="0.25">
      <c r="B93" s="220"/>
      <c r="C93" s="161"/>
      <c r="D93" s="161"/>
      <c r="E93" s="161"/>
      <c r="F93" s="161"/>
      <c r="G93" s="559"/>
      <c r="H93" s="220"/>
      <c r="I93" s="212"/>
      <c r="J93" s="161"/>
      <c r="K93" s="223"/>
      <c r="L93" s="223"/>
      <c r="M93" s="569"/>
      <c r="N93" s="569"/>
      <c r="O93" s="569"/>
      <c r="P93" s="559"/>
    </row>
    <row r="94" spans="2:35" x14ac:dyDescent="0.25">
      <c r="B94" s="239" t="s">
        <v>299</v>
      </c>
      <c r="C94" s="161"/>
      <c r="D94" s="161"/>
      <c r="E94" s="161"/>
      <c r="F94" s="161"/>
      <c r="G94" s="559"/>
      <c r="H94" s="220"/>
      <c r="I94" s="212"/>
      <c r="J94" s="161"/>
      <c r="K94" s="302">
        <f t="shared" ref="K94:P94" si="27">SUM(K76:K92)</f>
        <v>1973.7394475699791</v>
      </c>
      <c r="L94" s="302">
        <f t="shared" si="27"/>
        <v>741.24836323033014</v>
      </c>
      <c r="M94" s="567">
        <f t="shared" si="27"/>
        <v>242.64580666692382</v>
      </c>
      <c r="N94" s="567">
        <f t="shared" si="27"/>
        <v>4937.2941912469614</v>
      </c>
      <c r="O94" s="567">
        <f t="shared" si="27"/>
        <v>242.23812955306823</v>
      </c>
      <c r="P94" s="567">
        <f t="shared" si="27"/>
        <v>8137.1659382672606</v>
      </c>
    </row>
    <row r="95" spans="2:35" x14ac:dyDescent="0.25">
      <c r="B95" s="247" t="s">
        <v>72</v>
      </c>
      <c r="C95" s="248"/>
      <c r="D95" s="248"/>
      <c r="E95" s="248"/>
      <c r="F95" s="248"/>
      <c r="G95" s="587"/>
      <c r="H95" s="248"/>
      <c r="I95" s="248"/>
      <c r="J95" s="248"/>
      <c r="K95" s="306">
        <f>K94-SUMIF(Direct_Capex_Totals!$B$16:$B$85,$B$3,Direct_Capex_Totals!Q$16:Q$85)</f>
        <v>0</v>
      </c>
      <c r="L95" s="306">
        <f>L94-SUMIF(Direct_Capex_Totals!$B$16:$B$85,$B$3,Direct_Capex_Totals!R$16:R$85)</f>
        <v>0</v>
      </c>
      <c r="M95" s="306">
        <f>M94-SUMIF(Direct_Capex_Totals!$B$16:$B$85,$B$3,Direct_Capex_Totals!S$16:S$85)</f>
        <v>0</v>
      </c>
      <c r="N95" s="306">
        <f>N94-SUMIF(Direct_Capex_Totals!$B$16:$B$85,$B$3,Direct_Capex_Totals!T$16:T$85)</f>
        <v>0</v>
      </c>
      <c r="O95" s="306">
        <f>O94-SUMIF(Direct_Capex_Totals!$B$16:$B$85,$B$3,Direct_Capex_Totals!U$16:U$85)</f>
        <v>0</v>
      </c>
      <c r="P95" s="307">
        <f>SUM(K95:O95)</f>
        <v>0</v>
      </c>
      <c r="Q95" s="278"/>
    </row>
    <row r="96" spans="2:35" x14ac:dyDescent="0.25">
      <c r="B96" s="220"/>
      <c r="C96" s="161"/>
      <c r="D96" s="161"/>
      <c r="E96" s="161"/>
      <c r="F96" s="161"/>
      <c r="G96" s="270"/>
      <c r="H96" s="161"/>
      <c r="I96" s="161"/>
      <c r="J96" s="161"/>
      <c r="K96" s="147"/>
      <c r="L96" s="147"/>
      <c r="M96" s="573"/>
      <c r="N96" s="573"/>
      <c r="O96" s="573"/>
      <c r="P96" s="574"/>
      <c r="R96" s="579"/>
      <c r="S96" s="579"/>
      <c r="T96" s="579"/>
      <c r="U96" s="579"/>
      <c r="V96" s="579"/>
      <c r="W96" s="579"/>
      <c r="X96" s="579"/>
      <c r="Y96" s="579"/>
      <c r="Z96" s="275"/>
      <c r="AA96" s="275"/>
      <c r="AB96" s="275"/>
      <c r="AI96" s="275"/>
    </row>
    <row r="97" spans="2:28" x14ac:dyDescent="0.25">
      <c r="B97" s="239" t="s">
        <v>119</v>
      </c>
      <c r="C97" s="240"/>
      <c r="D97" s="240"/>
      <c r="E97" s="240"/>
      <c r="F97" s="240"/>
      <c r="G97" s="588"/>
      <c r="H97" s="240"/>
      <c r="I97" s="240"/>
      <c r="J97" s="240"/>
      <c r="K97" s="26">
        <f t="shared" ref="K97:P97" si="28">K61+K94</f>
        <v>6238.2763183110264</v>
      </c>
      <c r="L97" s="26">
        <f t="shared" si="28"/>
        <v>1794.4795856015394</v>
      </c>
      <c r="M97" s="575">
        <f t="shared" si="28"/>
        <v>1657.690054454534</v>
      </c>
      <c r="N97" s="575">
        <f t="shared" si="28"/>
        <v>9463.2726693797886</v>
      </c>
      <c r="O97" s="575">
        <f t="shared" si="28"/>
        <v>393.72368750544683</v>
      </c>
      <c r="P97" s="576">
        <f t="shared" si="28"/>
        <v>19547.44231525233</v>
      </c>
    </row>
    <row r="98" spans="2:28" x14ac:dyDescent="0.25">
      <c r="B98" s="246" t="s">
        <v>72</v>
      </c>
      <c r="C98" s="242"/>
      <c r="D98" s="242"/>
      <c r="E98" s="242"/>
      <c r="F98" s="242"/>
      <c r="G98" s="589"/>
      <c r="H98" s="242"/>
      <c r="I98" s="242"/>
      <c r="J98" s="242"/>
      <c r="K98" s="244">
        <f>K97-Direct_Capex_Totals!Q109</f>
        <v>0</v>
      </c>
      <c r="L98" s="244">
        <f>L97-Direct_Capex_Totals!R109</f>
        <v>0</v>
      </c>
      <c r="M98" s="590">
        <f>M97-Direct_Capex_Totals!S109</f>
        <v>0</v>
      </c>
      <c r="N98" s="590">
        <f>N97-Direct_Capex_Totals!T109</f>
        <v>0</v>
      </c>
      <c r="O98" s="590">
        <f>O97-Direct_Capex_Totals!U109</f>
        <v>0</v>
      </c>
      <c r="P98" s="594">
        <f>SUM(K98:O98)</f>
        <v>0</v>
      </c>
      <c r="AB98" s="275"/>
    </row>
    <row r="100" spans="2:28" x14ac:dyDescent="0.25">
      <c r="S100" s="595"/>
      <c r="T100" s="595"/>
      <c r="U100" s="595"/>
      <c r="V100" s="595"/>
    </row>
    <row r="101" spans="2:28" outlineLevel="1" x14ac:dyDescent="0.25">
      <c r="C101" t="s">
        <v>277</v>
      </c>
      <c r="D101" t="s">
        <v>18</v>
      </c>
      <c r="E101" t="s">
        <v>42</v>
      </c>
      <c r="F101" s="161" t="str">
        <f>D101&amp;E101</f>
        <v>SubtransmissionAugmentation</v>
      </c>
      <c r="K101" s="6">
        <v>2463.4222300884949</v>
      </c>
      <c r="L101" s="6">
        <v>0</v>
      </c>
      <c r="M101" s="438">
        <v>0</v>
      </c>
      <c r="N101" s="438">
        <v>4020.4187083552092</v>
      </c>
      <c r="O101" s="438">
        <v>147.92683893805307</v>
      </c>
      <c r="P101" s="438">
        <f>SUM(K101:O101)</f>
        <v>6631.7677773817568</v>
      </c>
      <c r="S101" s="595"/>
      <c r="T101" s="595"/>
      <c r="U101" s="595"/>
      <c r="V101" s="595"/>
    </row>
    <row r="102" spans="2:28" outlineLevel="1" x14ac:dyDescent="0.25">
      <c r="D102" t="s">
        <v>18</v>
      </c>
      <c r="E102" t="s">
        <v>44</v>
      </c>
      <c r="F102" s="161" t="str">
        <f>D102&amp;E102</f>
        <v>SubtransmissionReplacement</v>
      </c>
      <c r="K102" s="6">
        <v>0</v>
      </c>
      <c r="L102" s="6">
        <v>0</v>
      </c>
      <c r="M102" s="438">
        <v>0</v>
      </c>
      <c r="N102" s="438">
        <v>0</v>
      </c>
      <c r="O102" s="438">
        <v>0</v>
      </c>
      <c r="P102" s="438">
        <f t="shared" ref="P102:P121" si="29">SUM(K102:O102)</f>
        <v>0</v>
      </c>
      <c r="S102" s="595"/>
      <c r="T102" s="595"/>
      <c r="U102" s="595"/>
      <c r="V102" s="595"/>
    </row>
    <row r="103" spans="2:28" outlineLevel="1" x14ac:dyDescent="0.25">
      <c r="D103" t="s">
        <v>22</v>
      </c>
      <c r="E103" t="s">
        <v>42</v>
      </c>
      <c r="F103" s="161" t="str">
        <f>D103&amp;E103</f>
        <v>SCADA/Network controlAugmentation</v>
      </c>
      <c r="K103" s="6">
        <v>1801.1146406525527</v>
      </c>
      <c r="L103" s="6">
        <v>0</v>
      </c>
      <c r="M103" s="438">
        <v>0</v>
      </c>
      <c r="N103" s="438">
        <v>505.55976977761713</v>
      </c>
      <c r="O103" s="438">
        <v>3.5587190143255261</v>
      </c>
      <c r="P103" s="438">
        <f t="shared" si="29"/>
        <v>2310.2331294444953</v>
      </c>
      <c r="S103" s="595"/>
      <c r="T103" s="595"/>
      <c r="U103" s="595"/>
      <c r="V103" s="595"/>
    </row>
    <row r="104" spans="2:28" outlineLevel="1" x14ac:dyDescent="0.25">
      <c r="D104" t="s">
        <v>22</v>
      </c>
      <c r="E104" t="s">
        <v>44</v>
      </c>
      <c r="F104" s="161" t="str">
        <f>D104&amp;E104</f>
        <v>SCADA/Network controlReplacement</v>
      </c>
      <c r="K104" s="6">
        <v>0</v>
      </c>
      <c r="L104" s="6">
        <v>0</v>
      </c>
      <c r="M104" s="438">
        <v>0</v>
      </c>
      <c r="N104" s="438">
        <v>0</v>
      </c>
      <c r="O104" s="438">
        <v>0</v>
      </c>
      <c r="P104" s="438">
        <f t="shared" si="29"/>
        <v>0</v>
      </c>
    </row>
    <row r="105" spans="2:28" outlineLevel="1" x14ac:dyDescent="0.25">
      <c r="D105" t="s">
        <v>211</v>
      </c>
      <c r="E105" t="s">
        <v>83</v>
      </c>
      <c r="F105" s="161" t="str">
        <f>D105&amp;E105</f>
        <v>LandNon-Network</v>
      </c>
      <c r="K105" s="39">
        <v>0</v>
      </c>
      <c r="L105" s="39">
        <v>0</v>
      </c>
      <c r="M105" s="580">
        <v>0</v>
      </c>
      <c r="N105" s="580">
        <v>0</v>
      </c>
      <c r="O105" s="580">
        <v>0</v>
      </c>
      <c r="P105" s="580">
        <f t="shared" si="29"/>
        <v>0</v>
      </c>
    </row>
    <row r="106" spans="2:28" outlineLevel="1" x14ac:dyDescent="0.25">
      <c r="F106" s="161"/>
      <c r="K106" s="6">
        <f t="shared" ref="K106:P106" si="30">SUM(K101:K105)</f>
        <v>4264.5368707410471</v>
      </c>
      <c r="L106" s="6">
        <f t="shared" si="30"/>
        <v>0</v>
      </c>
      <c r="M106" s="438">
        <f t="shared" si="30"/>
        <v>0</v>
      </c>
      <c r="N106" s="438">
        <f t="shared" si="30"/>
        <v>4525.9784781328262</v>
      </c>
      <c r="O106" s="438">
        <f t="shared" si="30"/>
        <v>151.4855579523786</v>
      </c>
      <c r="P106" s="438">
        <f t="shared" si="30"/>
        <v>8942.0009068262516</v>
      </c>
    </row>
    <row r="107" spans="2:28" outlineLevel="1" x14ac:dyDescent="0.25">
      <c r="C107" t="s">
        <v>379</v>
      </c>
      <c r="D107" t="s">
        <v>18</v>
      </c>
      <c r="E107" t="s">
        <v>42</v>
      </c>
      <c r="F107" s="161" t="str">
        <f>D107&amp;E107</f>
        <v>SubtransmissionAugmentation</v>
      </c>
      <c r="K107" s="6"/>
      <c r="L107" s="6">
        <v>781.12102150668045</v>
      </c>
      <c r="M107" s="438">
        <v>1049.456932942539</v>
      </c>
      <c r="N107" s="438">
        <v>0</v>
      </c>
      <c r="O107" s="438"/>
      <c r="P107" s="438">
        <f>SUM(K107:O107)</f>
        <v>1830.5779544492193</v>
      </c>
    </row>
    <row r="108" spans="2:28" outlineLevel="1" x14ac:dyDescent="0.25">
      <c r="D108" t="s">
        <v>18</v>
      </c>
      <c r="E108" t="s">
        <v>44</v>
      </c>
      <c r="F108" s="161" t="str">
        <f>D108&amp;E108</f>
        <v>SubtransmissionReplacement</v>
      </c>
      <c r="K108" s="6"/>
      <c r="L108" s="6">
        <v>0</v>
      </c>
      <c r="M108" s="438">
        <v>0</v>
      </c>
      <c r="N108" s="438">
        <v>0</v>
      </c>
      <c r="O108" s="438"/>
      <c r="P108" s="438">
        <f t="shared" si="29"/>
        <v>0</v>
      </c>
    </row>
    <row r="109" spans="2:28" outlineLevel="1" x14ac:dyDescent="0.25">
      <c r="D109" t="s">
        <v>22</v>
      </c>
      <c r="E109" t="s">
        <v>42</v>
      </c>
      <c r="F109" s="161" t="str">
        <f>D109&amp;E109</f>
        <v>SCADA/Network controlAugmentation</v>
      </c>
      <c r="K109" s="6"/>
      <c r="L109" s="6">
        <v>272.11020086452879</v>
      </c>
      <c r="M109" s="438">
        <v>365.58731484507138</v>
      </c>
      <c r="N109" s="438">
        <v>0</v>
      </c>
      <c r="O109" s="438"/>
      <c r="P109" s="438">
        <f t="shared" si="29"/>
        <v>637.69751570960011</v>
      </c>
    </row>
    <row r="110" spans="2:28" outlineLevel="1" x14ac:dyDescent="0.25">
      <c r="D110" t="s">
        <v>22</v>
      </c>
      <c r="E110" t="s">
        <v>44</v>
      </c>
      <c r="F110" s="161" t="str">
        <f>D110&amp;E110</f>
        <v>SCADA/Network controlReplacement</v>
      </c>
      <c r="K110" s="6"/>
      <c r="L110" s="6">
        <v>0</v>
      </c>
      <c r="M110" s="438">
        <v>0</v>
      </c>
      <c r="N110" s="438">
        <v>0</v>
      </c>
      <c r="O110" s="438"/>
      <c r="P110" s="438">
        <f t="shared" si="29"/>
        <v>0</v>
      </c>
    </row>
    <row r="111" spans="2:28" outlineLevel="1" x14ac:dyDescent="0.25">
      <c r="D111" t="s">
        <v>211</v>
      </c>
      <c r="E111" t="s">
        <v>83</v>
      </c>
      <c r="F111" s="161" t="str">
        <f>D111&amp;E111</f>
        <v>LandNon-Network</v>
      </c>
      <c r="K111" s="39"/>
      <c r="L111" s="39">
        <v>0</v>
      </c>
      <c r="M111" s="580">
        <v>0</v>
      </c>
      <c r="N111" s="580">
        <v>0</v>
      </c>
      <c r="O111" s="580"/>
      <c r="P111" s="580">
        <f t="shared" si="29"/>
        <v>0</v>
      </c>
    </row>
    <row r="112" spans="2:28" outlineLevel="1" x14ac:dyDescent="0.25">
      <c r="F112" s="161"/>
      <c r="K112" s="6">
        <f t="shared" ref="K112:P112" si="31">SUM(K107:K111)</f>
        <v>0</v>
      </c>
      <c r="L112" s="6">
        <f t="shared" si="31"/>
        <v>1053.2312223712092</v>
      </c>
      <c r="M112" s="438">
        <f t="shared" si="31"/>
        <v>1415.0442477876104</v>
      </c>
      <c r="N112" s="438">
        <f t="shared" si="31"/>
        <v>0</v>
      </c>
      <c r="O112" s="438">
        <f t="shared" si="31"/>
        <v>0</v>
      </c>
      <c r="P112" s="438">
        <f t="shared" si="31"/>
        <v>2468.2754701588192</v>
      </c>
    </row>
    <row r="113" spans="3:16" outlineLevel="1" x14ac:dyDescent="0.25">
      <c r="C113" t="s">
        <v>387</v>
      </c>
      <c r="D113" t="s">
        <v>18</v>
      </c>
      <c r="E113" t="s">
        <v>42</v>
      </c>
      <c r="F113" s="161" t="str">
        <f>D113&amp;E113</f>
        <v>SubtransmissionAugmentation</v>
      </c>
      <c r="K113" s="6">
        <f t="shared" ref="K113:P113" si="32">K101+K107</f>
        <v>2463.4222300884949</v>
      </c>
      <c r="L113" s="6">
        <f t="shared" si="32"/>
        <v>781.12102150668045</v>
      </c>
      <c r="M113" s="438">
        <f t="shared" si="32"/>
        <v>1049.456932942539</v>
      </c>
      <c r="N113" s="438">
        <f t="shared" si="32"/>
        <v>4020.4187083552092</v>
      </c>
      <c r="O113" s="438">
        <f t="shared" si="32"/>
        <v>147.92683893805307</v>
      </c>
      <c r="P113" s="438">
        <f t="shared" si="32"/>
        <v>8462.3457318309756</v>
      </c>
    </row>
    <row r="114" spans="3:16" outlineLevel="1" x14ac:dyDescent="0.25">
      <c r="D114" t="s">
        <v>18</v>
      </c>
      <c r="E114" t="s">
        <v>44</v>
      </c>
      <c r="F114" s="161" t="str">
        <f>D114&amp;E114</f>
        <v>SubtransmissionReplacement</v>
      </c>
      <c r="K114" s="6">
        <f t="shared" ref="K114:P114" si="33">K102+K108</f>
        <v>0</v>
      </c>
      <c r="L114" s="6">
        <f t="shared" si="33"/>
        <v>0</v>
      </c>
      <c r="M114" s="438">
        <f t="shared" si="33"/>
        <v>0</v>
      </c>
      <c r="N114" s="438">
        <f t="shared" si="33"/>
        <v>0</v>
      </c>
      <c r="O114" s="438">
        <f t="shared" si="33"/>
        <v>0</v>
      </c>
      <c r="P114" s="438">
        <f t="shared" si="33"/>
        <v>0</v>
      </c>
    </row>
    <row r="115" spans="3:16" outlineLevel="1" x14ac:dyDescent="0.25">
      <c r="D115" t="s">
        <v>22</v>
      </c>
      <c r="E115" t="s">
        <v>42</v>
      </c>
      <c r="F115" s="161" t="str">
        <f>D115&amp;E115</f>
        <v>SCADA/Network controlAugmentation</v>
      </c>
      <c r="K115" s="6">
        <f t="shared" ref="K115:P115" si="34">K103+K109</f>
        <v>1801.1146406525527</v>
      </c>
      <c r="L115" s="6">
        <f t="shared" si="34"/>
        <v>272.11020086452879</v>
      </c>
      <c r="M115" s="438">
        <f t="shared" si="34"/>
        <v>365.58731484507138</v>
      </c>
      <c r="N115" s="438">
        <f t="shared" si="34"/>
        <v>505.55976977761713</v>
      </c>
      <c r="O115" s="438">
        <f t="shared" si="34"/>
        <v>3.5587190143255261</v>
      </c>
      <c r="P115" s="438">
        <f t="shared" si="34"/>
        <v>2947.9306451540951</v>
      </c>
    </row>
    <row r="116" spans="3:16" outlineLevel="1" x14ac:dyDescent="0.25">
      <c r="D116" t="s">
        <v>22</v>
      </c>
      <c r="E116" t="s">
        <v>44</v>
      </c>
      <c r="F116" s="161" t="str">
        <f>D116&amp;E116</f>
        <v>SCADA/Network controlReplacement</v>
      </c>
      <c r="K116" s="6">
        <f t="shared" ref="K116:P116" si="35">K104+K110</f>
        <v>0</v>
      </c>
      <c r="L116" s="6">
        <f t="shared" si="35"/>
        <v>0</v>
      </c>
      <c r="M116" s="438">
        <f t="shared" si="35"/>
        <v>0</v>
      </c>
      <c r="N116" s="438">
        <f t="shared" si="35"/>
        <v>0</v>
      </c>
      <c r="O116" s="438">
        <f t="shared" si="35"/>
        <v>0</v>
      </c>
      <c r="P116" s="438">
        <f t="shared" si="35"/>
        <v>0</v>
      </c>
    </row>
    <row r="117" spans="3:16" outlineLevel="1" x14ac:dyDescent="0.25">
      <c r="D117" t="s">
        <v>211</v>
      </c>
      <c r="E117" t="s">
        <v>83</v>
      </c>
      <c r="F117" s="161" t="str">
        <f>D117&amp;E117</f>
        <v>LandNon-Network</v>
      </c>
      <c r="K117" s="39">
        <f t="shared" ref="K117:P117" si="36">K105+K111</f>
        <v>0</v>
      </c>
      <c r="L117" s="39">
        <f t="shared" si="36"/>
        <v>0</v>
      </c>
      <c r="M117" s="580">
        <f t="shared" si="36"/>
        <v>0</v>
      </c>
      <c r="N117" s="580">
        <f t="shared" si="36"/>
        <v>0</v>
      </c>
      <c r="O117" s="580">
        <f t="shared" si="36"/>
        <v>0</v>
      </c>
      <c r="P117" s="580">
        <f t="shared" si="36"/>
        <v>0</v>
      </c>
    </row>
    <row r="118" spans="3:16" outlineLevel="1" x14ac:dyDescent="0.25">
      <c r="F118" s="161"/>
      <c r="K118" s="6">
        <f t="shared" ref="K118:P118" si="37">SUM(K113:K117)</f>
        <v>4264.5368707410471</v>
      </c>
      <c r="L118" s="6">
        <f t="shared" si="37"/>
        <v>1053.2312223712092</v>
      </c>
      <c r="M118" s="438">
        <f t="shared" si="37"/>
        <v>1415.0442477876104</v>
      </c>
      <c r="N118" s="438">
        <f t="shared" si="37"/>
        <v>4525.9784781328262</v>
      </c>
      <c r="O118" s="438">
        <f t="shared" si="37"/>
        <v>151.4855579523786</v>
      </c>
      <c r="P118" s="438">
        <f t="shared" si="37"/>
        <v>11410.276376985072</v>
      </c>
    </row>
    <row r="119" spans="3:16" outlineLevel="1" x14ac:dyDescent="0.25">
      <c r="F119" s="161"/>
      <c r="K119" s="6">
        <f t="shared" ref="K119:P119" si="38">K61-K118</f>
        <v>0</v>
      </c>
      <c r="L119" s="6">
        <f t="shared" si="38"/>
        <v>0</v>
      </c>
      <c r="M119" s="438">
        <f t="shared" si="38"/>
        <v>0</v>
      </c>
      <c r="N119" s="438">
        <f t="shared" si="38"/>
        <v>0</v>
      </c>
      <c r="O119" s="438">
        <f t="shared" si="38"/>
        <v>0</v>
      </c>
      <c r="P119" s="438">
        <f t="shared" si="38"/>
        <v>0</v>
      </c>
    </row>
    <row r="120" spans="3:16" outlineLevel="1" x14ac:dyDescent="0.25">
      <c r="C120" t="s">
        <v>17</v>
      </c>
      <c r="D120" t="s">
        <v>19</v>
      </c>
      <c r="E120" t="s">
        <v>42</v>
      </c>
      <c r="F120" s="161" t="str">
        <f>D120&amp;E120</f>
        <v>Distribution system assetsAugmentation</v>
      </c>
      <c r="K120" s="6">
        <v>1013.5891613196007</v>
      </c>
      <c r="L120" s="6">
        <v>320.05342587489218</v>
      </c>
      <c r="M120" s="438">
        <v>168.69832364219869</v>
      </c>
      <c r="N120" s="438">
        <v>2121.634090136351</v>
      </c>
      <c r="O120" s="438">
        <v>167.67953423688482</v>
      </c>
      <c r="P120" s="438">
        <f t="shared" si="29"/>
        <v>3791.6545352099274</v>
      </c>
    </row>
    <row r="121" spans="3:16" outlineLevel="1" x14ac:dyDescent="0.25">
      <c r="D121" t="s">
        <v>19</v>
      </c>
      <c r="E121" t="s">
        <v>44</v>
      </c>
      <c r="F121" s="161" t="str">
        <f>D121&amp;E121</f>
        <v>Distribution system assetsReplacement</v>
      </c>
      <c r="K121" s="39">
        <v>0</v>
      </c>
      <c r="L121" s="39">
        <v>4.5608911752047305</v>
      </c>
      <c r="M121" s="580">
        <v>0</v>
      </c>
      <c r="N121" s="580">
        <v>104.48244801860463</v>
      </c>
      <c r="O121" s="580">
        <v>0</v>
      </c>
      <c r="P121" s="580">
        <f t="shared" si="29"/>
        <v>109.04333919380936</v>
      </c>
    </row>
    <row r="122" spans="3:16" outlineLevel="1" x14ac:dyDescent="0.25">
      <c r="F122" s="161"/>
      <c r="K122" s="14">
        <f t="shared" ref="K122:P122" si="39">SUM(K120:K121)</f>
        <v>1013.5891613196007</v>
      </c>
      <c r="L122" s="14">
        <f t="shared" si="39"/>
        <v>324.61431705009693</v>
      </c>
      <c r="M122" s="571">
        <f t="shared" si="39"/>
        <v>168.69832364219869</v>
      </c>
      <c r="N122" s="571">
        <f t="shared" si="39"/>
        <v>2226.1165381549558</v>
      </c>
      <c r="O122" s="571">
        <f t="shared" si="39"/>
        <v>167.67953423688482</v>
      </c>
      <c r="P122" s="571">
        <f t="shared" si="39"/>
        <v>3900.6978744037369</v>
      </c>
    </row>
    <row r="123" spans="3:16" outlineLevel="1" x14ac:dyDescent="0.25">
      <c r="F123" s="161"/>
      <c r="K123" s="19">
        <f t="shared" ref="K123:P123" si="40">K122-K76</f>
        <v>0</v>
      </c>
      <c r="L123" s="19">
        <f t="shared" si="40"/>
        <v>0</v>
      </c>
      <c r="M123" s="277">
        <f t="shared" si="40"/>
        <v>0</v>
      </c>
      <c r="N123" s="277">
        <f t="shared" si="40"/>
        <v>0</v>
      </c>
      <c r="O123" s="277">
        <f t="shared" si="40"/>
        <v>0</v>
      </c>
      <c r="P123" s="277">
        <f t="shared" si="40"/>
        <v>0</v>
      </c>
    </row>
    <row r="124" spans="3:16" x14ac:dyDescent="0.25">
      <c r="F124" s="161"/>
    </row>
  </sheetData>
  <dataConsolidate/>
  <mergeCells count="3">
    <mergeCell ref="K3:P3"/>
    <mergeCell ref="G3:I3"/>
    <mergeCell ref="R3:X3"/>
  </mergeCells>
  <conditionalFormatting sqref="Q61">
    <cfRule type="expression" dxfId="3" priority="8">
      <formula>$P$61-$Q$61=0</formula>
    </cfRule>
  </conditionalFormatting>
  <pageMargins left="0.25" right="0.25" top="0.75" bottom="0.75" header="0.3" footer="0.3"/>
  <pageSetup paperSize="9" scale="72" fitToHeight="0" orientation="portrait" r:id="rId1"/>
  <ignoredErrors>
    <ignoredError sqref="AG83:AG87 AG76:AG78 L10:L13 AG66:AG72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AO124"/>
  <sheetViews>
    <sheetView zoomScale="85" zoomScaleNormal="85" workbookViewId="0">
      <pane xSplit="3" ySplit="4" topLeftCell="G5" activePane="bottomRight" state="frozen"/>
      <selection activeCell="G18" sqref="G18"/>
      <selection pane="topRight" activeCell="G18" sqref="G18"/>
      <selection pane="bottomLeft" activeCell="G18" sqref="G18"/>
      <selection pane="bottomRight" activeCell="Z87" sqref="Z87"/>
    </sheetView>
  </sheetViews>
  <sheetFormatPr defaultRowHeight="15" outlineLevelRow="1" outlineLevelCol="1" x14ac:dyDescent="0.25"/>
  <cols>
    <col min="1" max="1" width="2.28515625" customWidth="1"/>
    <col min="2" max="2" width="3" customWidth="1"/>
    <col min="3" max="3" width="52" customWidth="1"/>
    <col min="4" max="4" width="20" hidden="1" customWidth="1" outlineLevel="1"/>
    <col min="5" max="6" width="15.28515625" hidden="1" customWidth="1" outlineLevel="1"/>
    <col min="7" max="7" width="9.28515625" customWidth="1" collapsed="1"/>
    <col min="8" max="8" width="8.7109375" customWidth="1"/>
    <col min="9" max="9" width="10.7109375" customWidth="1"/>
    <col min="10" max="10" width="2.28515625" customWidth="1"/>
    <col min="11" max="11" width="9.7109375" bestFit="1" customWidth="1"/>
    <col min="12" max="12" width="9.5703125" bestFit="1" customWidth="1"/>
    <col min="13" max="13" width="9.42578125" style="471" customWidth="1"/>
    <col min="14" max="14" width="12.28515625" style="471" customWidth="1"/>
    <col min="15" max="15" width="10.42578125" style="471" customWidth="1"/>
    <col min="16" max="16" width="12.140625" style="471" customWidth="1"/>
    <col min="17" max="17" width="9.7109375" style="471" bestFit="1" customWidth="1"/>
    <col min="18" max="18" width="9" style="471" bestFit="1" customWidth="1"/>
    <col min="19" max="19" width="9.7109375" style="471" customWidth="1"/>
    <col min="20" max="22" width="9" style="471" bestFit="1" customWidth="1"/>
    <col min="23" max="23" width="9.140625" style="471"/>
    <col min="26" max="35" width="8.85546875" customWidth="1" outlineLevel="1"/>
    <col min="36" max="36" width="8.85546875"/>
  </cols>
  <sheetData>
    <row r="1" spans="2:33" x14ac:dyDescent="0.25">
      <c r="N1" s="745" t="s">
        <v>432</v>
      </c>
      <c r="O1"/>
    </row>
    <row r="2" spans="2:33" x14ac:dyDescent="0.25">
      <c r="B2" s="22" t="str">
        <f>STN_2&amp;" Volumes &amp; Unit Rates"</f>
        <v>KLO Volumes &amp; Unit Rates</v>
      </c>
      <c r="R2" s="539"/>
      <c r="S2" s="539"/>
      <c r="T2" s="539"/>
      <c r="U2" s="539"/>
      <c r="V2" s="539"/>
      <c r="W2" s="539"/>
      <c r="X2" s="166"/>
    </row>
    <row r="3" spans="2:33" x14ac:dyDescent="0.25">
      <c r="B3" t="str">
        <f>STN_2</f>
        <v>KLO</v>
      </c>
      <c r="G3" s="771" t="s">
        <v>151</v>
      </c>
      <c r="H3" s="772"/>
      <c r="I3" s="773"/>
      <c r="K3" s="771" t="s">
        <v>604</v>
      </c>
      <c r="L3" s="772"/>
      <c r="M3" s="772"/>
      <c r="N3" s="772"/>
      <c r="O3" s="772"/>
      <c r="P3" s="773"/>
      <c r="R3" s="771" t="s">
        <v>363</v>
      </c>
      <c r="S3" s="772"/>
      <c r="T3" s="772"/>
      <c r="U3" s="772"/>
      <c r="V3" s="772"/>
      <c r="W3" s="772"/>
      <c r="X3" s="773"/>
    </row>
    <row r="4" spans="2:33" ht="45" customHeight="1" x14ac:dyDescent="0.25">
      <c r="D4" t="s">
        <v>373</v>
      </c>
      <c r="E4" t="s">
        <v>101</v>
      </c>
      <c r="G4" s="209" t="s">
        <v>605</v>
      </c>
      <c r="H4" s="218" t="s">
        <v>281</v>
      </c>
      <c r="I4" s="208" t="s">
        <v>309</v>
      </c>
      <c r="K4" s="208" t="s">
        <v>151</v>
      </c>
      <c r="L4" s="208" t="s">
        <v>306</v>
      </c>
      <c r="M4" s="540" t="s">
        <v>152</v>
      </c>
      <c r="N4" s="541" t="s">
        <v>153</v>
      </c>
      <c r="O4" s="542" t="s">
        <v>77</v>
      </c>
      <c r="P4" s="542" t="s">
        <v>307</v>
      </c>
      <c r="Q4" s="543" t="s">
        <v>130</v>
      </c>
      <c r="R4" s="544" t="s">
        <v>301</v>
      </c>
      <c r="S4" s="544" t="s">
        <v>305</v>
      </c>
      <c r="T4" s="544" t="s">
        <v>272</v>
      </c>
      <c r="U4" s="544" t="s">
        <v>302</v>
      </c>
      <c r="V4" s="544" t="s">
        <v>303</v>
      </c>
      <c r="W4" s="544" t="s">
        <v>304</v>
      </c>
      <c r="X4" s="284" t="s">
        <v>357</v>
      </c>
      <c r="Y4" s="435" t="s">
        <v>471</v>
      </c>
    </row>
    <row r="5" spans="2:33" x14ac:dyDescent="0.25">
      <c r="B5" s="236" t="s">
        <v>330</v>
      </c>
      <c r="C5" s="279"/>
      <c r="D5" s="279"/>
      <c r="E5" s="279"/>
      <c r="F5" s="279"/>
      <c r="G5" s="209"/>
      <c r="H5" s="280"/>
      <c r="I5" s="281"/>
      <c r="J5" s="279"/>
      <c r="K5" s="281"/>
      <c r="L5" s="281"/>
      <c r="M5" s="545"/>
      <c r="N5" s="540"/>
      <c r="O5" s="545"/>
      <c r="P5" s="545"/>
      <c r="R5" s="546">
        <f>Lab_Rates!$C$6*Escalators!C7*(1+Escalators!C17)</f>
        <v>158.45839054425579</v>
      </c>
      <c r="S5" s="546">
        <f>Lab_Rates!$C$7*Escalators!C7*(1+Escalators!C17)</f>
        <v>148.03349642950209</v>
      </c>
      <c r="T5" s="546">
        <f>Lab_Rates!$C$8*Escalators!C7*(1+Escalators!C17)</f>
        <v>172.01075289343555</v>
      </c>
      <c r="U5" s="546">
        <f>Lab_Rates!$C$9*Escalators!C7*(1+Escalators!C17)</f>
        <v>224.1352234672039</v>
      </c>
      <c r="V5" s="546">
        <f>Lab_Rates!$C$6*Escalators!C7*(1+Escalators!C17)</f>
        <v>158.45839054425579</v>
      </c>
      <c r="W5" s="546">
        <f>Lab_Rates!$C$10*Escalators!C7*(1+Escalators!C17)</f>
        <v>158.45839054425579</v>
      </c>
      <c r="X5" s="308">
        <f>Lab_Rates!$C$5*Escalators!C7*(1+Escalators!C17)</f>
        <v>130.31117643442087</v>
      </c>
    </row>
    <row r="6" spans="2:33" x14ac:dyDescent="0.25">
      <c r="B6" s="239"/>
      <c r="C6" s="161"/>
      <c r="D6" s="161"/>
      <c r="E6" s="161"/>
      <c r="F6" s="161"/>
      <c r="G6" s="259"/>
      <c r="H6" s="219"/>
      <c r="I6" s="252"/>
      <c r="K6" s="259"/>
      <c r="L6" s="259"/>
      <c r="M6" s="547"/>
      <c r="N6" s="530"/>
      <c r="O6" s="547"/>
      <c r="P6" s="548"/>
      <c r="R6" s="522"/>
      <c r="S6" s="522"/>
      <c r="T6" s="522"/>
      <c r="U6" s="522"/>
      <c r="V6" s="522"/>
      <c r="W6" s="522"/>
      <c r="X6" s="522"/>
    </row>
    <row r="7" spans="2:33" x14ac:dyDescent="0.25">
      <c r="B7" s="220" t="s">
        <v>331</v>
      </c>
      <c r="D7" t="s">
        <v>376</v>
      </c>
      <c r="E7" t="s">
        <v>376</v>
      </c>
      <c r="G7" s="292"/>
      <c r="H7" s="297"/>
      <c r="I7" s="298"/>
      <c r="K7" s="292"/>
      <c r="L7" s="259">
        <f>SUMPRODUCT(R$5:X$5,R7:X7)/Thousands</f>
        <v>0</v>
      </c>
      <c r="M7" s="525">
        <v>1132.0353982300883</v>
      </c>
      <c r="N7" s="525"/>
      <c r="O7" s="549"/>
      <c r="P7" s="548">
        <f>SUM(K7:O7)</f>
        <v>1132.0353982300883</v>
      </c>
      <c r="Q7" s="277"/>
      <c r="R7" s="519">
        <v>0</v>
      </c>
      <c r="S7" s="527"/>
      <c r="T7" s="527"/>
      <c r="U7" s="527"/>
      <c r="V7" s="527"/>
      <c r="W7" s="527"/>
      <c r="X7" s="527"/>
    </row>
    <row r="8" spans="2:33" x14ac:dyDescent="0.25">
      <c r="B8" s="222"/>
      <c r="C8" s="43"/>
      <c r="D8" s="43"/>
      <c r="E8" s="43"/>
      <c r="F8" s="43"/>
      <c r="G8" s="229"/>
      <c r="H8" s="272"/>
      <c r="I8" s="251"/>
      <c r="K8" s="229"/>
      <c r="L8" s="229"/>
      <c r="M8" s="550"/>
      <c r="N8" s="550"/>
      <c r="O8" s="550"/>
      <c r="P8" s="551"/>
      <c r="R8" s="522"/>
      <c r="S8" s="522"/>
      <c r="T8" s="522"/>
      <c r="U8" s="522"/>
      <c r="V8" s="522"/>
      <c r="W8" s="522"/>
      <c r="X8" s="522"/>
    </row>
    <row r="9" spans="2:33" x14ac:dyDescent="0.25">
      <c r="B9" s="225" t="s">
        <v>285</v>
      </c>
      <c r="C9" s="226"/>
      <c r="D9" s="279"/>
      <c r="E9" s="279"/>
      <c r="F9" s="279"/>
      <c r="G9" s="227"/>
      <c r="H9" s="273"/>
      <c r="I9" s="208"/>
      <c r="K9" s="227"/>
      <c r="L9" s="227"/>
      <c r="M9" s="552"/>
      <c r="N9" s="552"/>
      <c r="O9" s="552"/>
      <c r="P9" s="553"/>
      <c r="R9" s="522"/>
      <c r="S9" s="522"/>
      <c r="T9" s="522"/>
      <c r="U9" s="522"/>
      <c r="V9" s="522"/>
      <c r="W9" s="522"/>
      <c r="X9" s="522"/>
    </row>
    <row r="10" spans="2:33" x14ac:dyDescent="0.25">
      <c r="B10" s="220"/>
      <c r="C10" s="161" t="s">
        <v>286</v>
      </c>
      <c r="D10" s="161" t="s">
        <v>376</v>
      </c>
      <c r="E10" s="161" t="s">
        <v>376</v>
      </c>
      <c r="F10" s="161"/>
      <c r="G10" s="292"/>
      <c r="H10" s="297"/>
      <c r="I10" s="298"/>
      <c r="K10" s="291"/>
      <c r="L10" s="213">
        <f>SUMPRODUCT(R$5:X$5,R10:X10)/Thousands</f>
        <v>74.575522539301843</v>
      </c>
      <c r="M10" s="533"/>
      <c r="N10" s="533">
        <v>0</v>
      </c>
      <c r="O10" s="534"/>
      <c r="P10" s="548">
        <f>SUM(K10:O10)</f>
        <v>74.575522539301843</v>
      </c>
      <c r="Q10" s="277"/>
      <c r="R10" s="519">
        <v>412.05263157894734</v>
      </c>
      <c r="S10" s="519">
        <v>32</v>
      </c>
      <c r="T10" s="519">
        <v>16</v>
      </c>
      <c r="U10" s="519">
        <v>8</v>
      </c>
      <c r="V10" s="519"/>
      <c r="W10" s="519"/>
      <c r="X10" s="519"/>
      <c r="Y10" s="14">
        <f>SUM(R10:X10)</f>
        <v>468.05263157894734</v>
      </c>
      <c r="AA10" s="15"/>
      <c r="AB10" s="15"/>
      <c r="AC10" s="15"/>
      <c r="AD10" s="15"/>
      <c r="AE10" s="15"/>
      <c r="AF10" s="15"/>
      <c r="AG10" s="15"/>
    </row>
    <row r="11" spans="2:33" x14ac:dyDescent="0.25">
      <c r="B11" s="220"/>
      <c r="C11" s="161" t="s">
        <v>287</v>
      </c>
      <c r="D11" s="161" t="s">
        <v>376</v>
      </c>
      <c r="E11" s="161" t="s">
        <v>376</v>
      </c>
      <c r="F11" s="161"/>
      <c r="G11" s="292"/>
      <c r="H11" s="297"/>
      <c r="I11" s="298"/>
      <c r="K11" s="291"/>
      <c r="L11" s="213">
        <f>SUMPRODUCT(R$5:X$5,R11:X11)/Thousands</f>
        <v>585.23687577168744</v>
      </c>
      <c r="M11" s="533"/>
      <c r="N11" s="525">
        <v>0</v>
      </c>
      <c r="O11" s="534"/>
      <c r="P11" s="548">
        <f>SUM(K11:O11)</f>
        <v>585.23687577168744</v>
      </c>
      <c r="Q11" s="317"/>
      <c r="R11" s="519">
        <v>304.42105263157896</v>
      </c>
      <c r="S11" s="519"/>
      <c r="T11" s="519">
        <v>1021.8181818181819</v>
      </c>
      <c r="U11" s="519">
        <v>120</v>
      </c>
      <c r="V11" s="519">
        <v>573.9473684210526</v>
      </c>
      <c r="W11" s="519">
        <v>1536</v>
      </c>
      <c r="X11" s="519"/>
      <c r="Y11" s="14">
        <f>SUM(R11:X11)</f>
        <v>3556.1866028708132</v>
      </c>
      <c r="AA11" s="15"/>
      <c r="AB11" s="15"/>
      <c r="AC11" s="15"/>
      <c r="AD11" s="15"/>
      <c r="AE11" s="15"/>
      <c r="AF11" s="15"/>
      <c r="AG11" s="15"/>
    </row>
    <row r="12" spans="2:33" x14ac:dyDescent="0.25">
      <c r="B12" s="220"/>
      <c r="C12" s="161" t="s">
        <v>320</v>
      </c>
      <c r="D12" s="161" t="s">
        <v>376</v>
      </c>
      <c r="E12" s="161" t="s">
        <v>376</v>
      </c>
      <c r="F12" s="161"/>
      <c r="G12" s="292"/>
      <c r="H12" s="297"/>
      <c r="I12" s="298"/>
      <c r="K12" s="291"/>
      <c r="L12" s="213">
        <f>SUMPRODUCT(R$5:X$5,R12:X12)/Thousands</f>
        <v>326.50768367408494</v>
      </c>
      <c r="M12" s="533"/>
      <c r="N12" s="533">
        <v>0</v>
      </c>
      <c r="O12" s="534"/>
      <c r="P12" s="548">
        <f>SUM(K12:O12)</f>
        <v>326.50768367408494</v>
      </c>
      <c r="Q12" s="277"/>
      <c r="R12" s="519"/>
      <c r="S12" s="519"/>
      <c r="T12" s="519">
        <v>246.76363636363635</v>
      </c>
      <c r="U12" s="519"/>
      <c r="V12" s="519">
        <v>535.73684210526312</v>
      </c>
      <c r="W12" s="519">
        <v>164.84210526315789</v>
      </c>
      <c r="X12" s="519">
        <v>1327.9680000000001</v>
      </c>
      <c r="Y12" s="14">
        <f>SUM(R12:X12)</f>
        <v>2275.3105837320572</v>
      </c>
      <c r="AA12" s="15"/>
      <c r="AB12" s="15"/>
      <c r="AC12" s="15"/>
      <c r="AD12" s="15"/>
      <c r="AE12" s="15"/>
      <c r="AF12" s="15"/>
      <c r="AG12" s="15"/>
    </row>
    <row r="13" spans="2:33" x14ac:dyDescent="0.25">
      <c r="B13" s="220"/>
      <c r="C13" s="161" t="s">
        <v>288</v>
      </c>
      <c r="D13" s="161" t="s">
        <v>376</v>
      </c>
      <c r="E13" s="161" t="s">
        <v>376</v>
      </c>
      <c r="F13" s="161"/>
      <c r="G13" s="292"/>
      <c r="H13" s="297"/>
      <c r="I13" s="298"/>
      <c r="K13" s="291"/>
      <c r="L13" s="213">
        <f>SUMPRODUCT(R$5:X$5,R13:X13)/Thousands</f>
        <v>130.31117643442087</v>
      </c>
      <c r="M13" s="533"/>
      <c r="N13" s="533">
        <v>0</v>
      </c>
      <c r="O13" s="534"/>
      <c r="P13" s="548">
        <f>SUM(K13:O13)</f>
        <v>130.31117643442087</v>
      </c>
      <c r="Q13" s="277"/>
      <c r="R13" s="519">
        <v>0</v>
      </c>
      <c r="S13" s="519">
        <v>0</v>
      </c>
      <c r="T13" s="519">
        <v>757.57575757575762</v>
      </c>
      <c r="U13" s="519">
        <v>0</v>
      </c>
      <c r="V13" s="519">
        <v>0</v>
      </c>
      <c r="W13" s="519">
        <v>0</v>
      </c>
      <c r="X13" s="519">
        <v>0</v>
      </c>
      <c r="Y13" s="14">
        <f>SUM(R13:X13)</f>
        <v>757.57575757575762</v>
      </c>
      <c r="AA13" s="15"/>
      <c r="AB13" s="15"/>
      <c r="AC13" s="15"/>
      <c r="AD13" s="15"/>
      <c r="AE13" s="15"/>
      <c r="AF13" s="15"/>
      <c r="AG13" s="15"/>
    </row>
    <row r="14" spans="2:33" x14ac:dyDescent="0.25">
      <c r="B14" s="222"/>
      <c r="C14" s="43"/>
      <c r="D14" s="43"/>
      <c r="E14" s="43"/>
      <c r="F14" s="43"/>
      <c r="G14" s="229"/>
      <c r="H14" s="228"/>
      <c r="I14" s="251"/>
      <c r="K14" s="232"/>
      <c r="L14" s="233"/>
      <c r="M14" s="233"/>
      <c r="N14" s="554"/>
      <c r="O14" s="233"/>
      <c r="P14" s="555"/>
      <c r="R14" s="522"/>
      <c r="S14" s="522"/>
      <c r="T14" s="522"/>
      <c r="U14" s="522"/>
      <c r="V14" s="522"/>
      <c r="W14" s="522"/>
      <c r="X14" s="522"/>
    </row>
    <row r="15" spans="2:33" x14ac:dyDescent="0.25">
      <c r="B15" s="225" t="s">
        <v>277</v>
      </c>
      <c r="C15" s="226"/>
      <c r="D15" s="279"/>
      <c r="E15" s="279"/>
      <c r="F15" s="279"/>
      <c r="G15" s="283"/>
      <c r="H15" s="236"/>
      <c r="I15" s="231"/>
      <c r="K15" s="237"/>
      <c r="L15" s="237"/>
      <c r="M15" s="556"/>
      <c r="N15" s="557"/>
      <c r="O15" s="557"/>
      <c r="P15" s="558"/>
      <c r="Q15" s="278"/>
      <c r="R15" s="523"/>
      <c r="S15" s="522"/>
      <c r="T15" s="522"/>
      <c r="U15" s="522"/>
      <c r="V15" s="522"/>
      <c r="W15" s="522"/>
      <c r="X15" s="522"/>
      <c r="AA15" s="28"/>
      <c r="AB15" s="28"/>
      <c r="AC15" s="28"/>
      <c r="AD15" s="28"/>
      <c r="AE15" s="28"/>
      <c r="AF15" s="28"/>
      <c r="AG15" s="28"/>
    </row>
    <row r="16" spans="2:33" x14ac:dyDescent="0.25">
      <c r="B16" s="239" t="s">
        <v>279</v>
      </c>
      <c r="C16" s="161"/>
      <c r="D16" s="161"/>
      <c r="E16" s="161"/>
      <c r="F16" s="161"/>
      <c r="G16" s="216"/>
      <c r="H16" s="220"/>
      <c r="I16" s="212"/>
      <c r="J16" s="147"/>
      <c r="K16" s="213"/>
      <c r="L16" s="213"/>
      <c r="M16" s="531"/>
      <c r="N16" s="531"/>
      <c r="O16" s="531"/>
      <c r="P16" s="559"/>
      <c r="R16" s="522"/>
      <c r="S16" s="522"/>
      <c r="T16" s="522"/>
      <c r="U16" s="522"/>
      <c r="V16" s="522"/>
      <c r="W16" s="522"/>
      <c r="X16" s="522"/>
      <c r="AA16" s="28"/>
      <c r="AB16" s="28"/>
      <c r="AC16" s="28"/>
      <c r="AD16" s="28"/>
      <c r="AE16" s="28"/>
      <c r="AF16" s="28"/>
      <c r="AG16" s="28"/>
    </row>
    <row r="17" spans="2:33" x14ac:dyDescent="0.25">
      <c r="B17" s="220"/>
      <c r="C17" s="224" t="s">
        <v>685</v>
      </c>
      <c r="D17" s="161" t="str">
        <f>INDEX(Unit_Rates!$C$7:$K$59,MATCH($C17,Unit_Rates!$C$7:$C$59,0),5)</f>
        <v>Subtransmission</v>
      </c>
      <c r="E17" s="161" t="str">
        <f>INDEX(Unit_Rates!$C$7:$K$59,MATCH($C17,Unit_Rates!$C$7:$C$59,0),6)</f>
        <v>Augmentation</v>
      </c>
      <c r="F17" s="161" t="str">
        <f>D17&amp;E17</f>
        <v>SubtransmissionAugmentation</v>
      </c>
      <c r="G17" s="271">
        <f>INDEX(Unit_Rates!$C$7:$K$59,MATCH($C17,Unit_Rates!$C$7:$C$59,0),7)</f>
        <v>358.38574100294977</v>
      </c>
      <c r="H17" s="518">
        <v>5</v>
      </c>
      <c r="I17" s="252" t="s">
        <v>308</v>
      </c>
      <c r="J17" s="147"/>
      <c r="K17" s="214">
        <f>G17*$H17</f>
        <v>1791.9287050147489</v>
      </c>
      <c r="L17" s="286">
        <f t="shared" ref="L17:L41" si="0">SUMPRODUCT(R$5:X$5,R17:X17)/Thousands</f>
        <v>0</v>
      </c>
      <c r="M17" s="560"/>
      <c r="N17" s="739"/>
      <c r="O17" s="739"/>
      <c r="P17" s="740"/>
      <c r="Q17" s="317"/>
      <c r="R17" s="519">
        <v>0</v>
      </c>
      <c r="S17" s="519">
        <v>0</v>
      </c>
      <c r="T17" s="519">
        <v>0</v>
      </c>
      <c r="U17" s="519">
        <v>0</v>
      </c>
      <c r="V17" s="519">
        <v>0</v>
      </c>
      <c r="W17" s="519">
        <v>0</v>
      </c>
      <c r="X17" s="519">
        <v>0</v>
      </c>
      <c r="Y17" s="14">
        <f t="shared" ref="Y17:Y44" si="1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25">
      <c r="B18" s="220"/>
      <c r="C18" s="224" t="s">
        <v>345</v>
      </c>
      <c r="D18" s="161" t="str">
        <f>INDEX(Unit_Rates!$C$7:$K$59,MATCH($C18,Unit_Rates!$C$7:$C$59,0),5)</f>
        <v>Subtransmission</v>
      </c>
      <c r="E18" s="161" t="str">
        <f>INDEX(Unit_Rates!$C$7:$K$59,MATCH($C18,Unit_Rates!$C$7:$C$59,0),6)</f>
        <v>Augmentation</v>
      </c>
      <c r="F18" s="161" t="str">
        <f t="shared" ref="F18:F41" si="2">D18&amp;E18</f>
        <v>SubtransmissionAugmentation</v>
      </c>
      <c r="G18" s="271">
        <f>INDEX(Unit_Rates!$C$7:$K$59,MATCH($C18,Unit_Rates!$C$7:$C$59,0),7)</f>
        <v>106.43774159292033</v>
      </c>
      <c r="H18" s="518">
        <v>2</v>
      </c>
      <c r="I18" s="252" t="s">
        <v>308</v>
      </c>
      <c r="J18" s="147"/>
      <c r="K18" s="214">
        <f>G18*$H18</f>
        <v>212.87548318584066</v>
      </c>
      <c r="L18" s="286">
        <f t="shared" si="0"/>
        <v>0</v>
      </c>
      <c r="M18" s="560"/>
      <c r="N18" s="739"/>
      <c r="O18" s="739"/>
      <c r="P18" s="740"/>
      <c r="Q18" s="317"/>
      <c r="R18" s="519">
        <v>0</v>
      </c>
      <c r="S18" s="519">
        <v>0</v>
      </c>
      <c r="T18" s="519">
        <v>0</v>
      </c>
      <c r="U18" s="519">
        <v>0</v>
      </c>
      <c r="V18" s="519">
        <v>0</v>
      </c>
      <c r="W18" s="519">
        <v>0</v>
      </c>
      <c r="X18" s="519">
        <v>0</v>
      </c>
      <c r="Y18" s="14">
        <f t="shared" si="1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25">
      <c r="B19" s="220"/>
      <c r="C19" s="224" t="s">
        <v>486</v>
      </c>
      <c r="D19" s="161" t="str">
        <f>INDEX(Unit_Rates!$C$7:$K$59,MATCH($C19,Unit_Rates!$C$7:$C$59,0),5)</f>
        <v>Subtransmission</v>
      </c>
      <c r="E19" s="161" t="str">
        <f>INDEX(Unit_Rates!$C$7:$K$59,MATCH($C19,Unit_Rates!$C$7:$C$59,0),6)</f>
        <v>Augmentation</v>
      </c>
      <c r="F19" s="161" t="str">
        <f>D19&amp;E19</f>
        <v>SubtransmissionAugmentation</v>
      </c>
      <c r="G19" s="271">
        <f>INDEX(Unit_Rates!$C$7:$K$59,MATCH($C19,Unit_Rates!$C$7:$C$59,0),7)</f>
        <v>37.069442477876102</v>
      </c>
      <c r="H19" s="518">
        <v>1</v>
      </c>
      <c r="I19" s="252" t="s">
        <v>308</v>
      </c>
      <c r="J19" s="147"/>
      <c r="K19" s="214">
        <f>G19*$H19</f>
        <v>37.069442477876102</v>
      </c>
      <c r="L19" s="286">
        <f>SUMPRODUCT(R$5:X$5,R19:X19)/Thousands</f>
        <v>0</v>
      </c>
      <c r="M19" s="560"/>
      <c r="N19" s="739"/>
      <c r="O19" s="739"/>
      <c r="P19" s="740"/>
      <c r="Q19" s="317"/>
      <c r="R19" s="519">
        <v>0</v>
      </c>
      <c r="S19" s="519">
        <v>0</v>
      </c>
      <c r="T19" s="519">
        <v>0</v>
      </c>
      <c r="U19" s="519">
        <v>0</v>
      </c>
      <c r="V19" s="519">
        <v>0</v>
      </c>
      <c r="W19" s="519">
        <v>0</v>
      </c>
      <c r="X19" s="519">
        <v>0</v>
      </c>
      <c r="Y19" s="14">
        <f>SUM(R19:X19)</f>
        <v>0</v>
      </c>
    </row>
    <row r="20" spans="2:33" x14ac:dyDescent="0.25">
      <c r="B20" s="220"/>
      <c r="C20" s="224" t="s">
        <v>487</v>
      </c>
      <c r="D20" s="161" t="str">
        <f>INDEX(Unit_Rates!$C$7:$K$59,MATCH($C20,Unit_Rates!$C$7:$C$59,0),5)</f>
        <v>Subtransmission</v>
      </c>
      <c r="E20" s="161" t="str">
        <f>INDEX(Unit_Rates!$C$7:$K$59,MATCH($C20,Unit_Rates!$C$7:$C$59,0),6)</f>
        <v>Augmentation</v>
      </c>
      <c r="F20" s="161" t="str">
        <f t="shared" si="2"/>
        <v>SubtransmissionAugmentation</v>
      </c>
      <c r="G20" s="271">
        <f>INDEX(Unit_Rates!$C$7:$K$59,MATCH($C20,Unit_Rates!$C$7:$C$59,0),7)</f>
        <v>40.541017699115038</v>
      </c>
      <c r="H20" s="518">
        <v>1</v>
      </c>
      <c r="I20" s="252" t="s">
        <v>308</v>
      </c>
      <c r="J20" s="147"/>
      <c r="K20" s="214">
        <f>G20*H20</f>
        <v>40.541017699115038</v>
      </c>
      <c r="L20" s="286">
        <f t="shared" si="0"/>
        <v>0</v>
      </c>
      <c r="M20" s="560"/>
      <c r="N20" s="739"/>
      <c r="O20" s="739"/>
      <c r="P20" s="740"/>
      <c r="Q20" s="317"/>
      <c r="R20" s="519">
        <v>0</v>
      </c>
      <c r="S20" s="519">
        <v>0</v>
      </c>
      <c r="T20" s="519">
        <v>0</v>
      </c>
      <c r="U20" s="519">
        <v>0</v>
      </c>
      <c r="V20" s="519">
        <v>0</v>
      </c>
      <c r="W20" s="519">
        <v>0</v>
      </c>
      <c r="X20" s="519">
        <v>0</v>
      </c>
      <c r="Y20" s="14">
        <f t="shared" si="1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25">
      <c r="B21" s="220"/>
      <c r="C21" s="224" t="s">
        <v>382</v>
      </c>
      <c r="D21" s="161" t="str">
        <f>INDEX(Unit_Rates!$C$7:$K$59,MATCH($C21,Unit_Rates!$C$7:$C$59,0),5)</f>
        <v>Subtransmission</v>
      </c>
      <c r="E21" s="161" t="str">
        <f>INDEX(Unit_Rates!$C$7:$K$59,MATCH($C21,Unit_Rates!$C$7:$C$59,0),6)</f>
        <v>Augmentation</v>
      </c>
      <c r="F21" s="161" t="str">
        <f t="shared" si="2"/>
        <v>SubtransmissionAugmentation</v>
      </c>
      <c r="G21" s="271">
        <f>INDEX(Unit_Rates!$C$7:$K$59,MATCH($C21,Unit_Rates!$C$7:$C$59,0),7)</f>
        <v>0</v>
      </c>
      <c r="H21" s="518"/>
      <c r="I21" s="252" t="s">
        <v>308</v>
      </c>
      <c r="J21" s="147"/>
      <c r="K21" s="214">
        <f>G21*H21</f>
        <v>0</v>
      </c>
      <c r="L21" s="286">
        <f t="shared" si="0"/>
        <v>0</v>
      </c>
      <c r="M21" s="560"/>
      <c r="N21" s="739"/>
      <c r="O21" s="739"/>
      <c r="P21" s="740"/>
      <c r="Q21" s="317"/>
      <c r="R21" s="519">
        <v>0</v>
      </c>
      <c r="S21" s="519">
        <v>0</v>
      </c>
      <c r="T21" s="519">
        <v>0</v>
      </c>
      <c r="U21" s="519">
        <v>0</v>
      </c>
      <c r="V21" s="519">
        <v>0</v>
      </c>
      <c r="W21" s="519">
        <v>0</v>
      </c>
      <c r="X21" s="519">
        <v>0</v>
      </c>
      <c r="Y21" s="14">
        <f t="shared" si="1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25">
      <c r="B22" s="220"/>
      <c r="C22" s="224" t="s">
        <v>282</v>
      </c>
      <c r="D22" s="161" t="str">
        <f>INDEX(Unit_Rates!$C$7:$K$59,MATCH($C22,Unit_Rates!$C$7:$C$59,0),5)</f>
        <v>SCADA/Network control</v>
      </c>
      <c r="E22" s="161" t="str">
        <f>INDEX(Unit_Rates!$C$7:$K$59,MATCH($C22,Unit_Rates!$C$7:$C$59,0),6)</f>
        <v>Augmentation</v>
      </c>
      <c r="F22" s="161" t="str">
        <f t="shared" si="2"/>
        <v>SCADA/Network controlAugmentation</v>
      </c>
      <c r="G22" s="271">
        <f>INDEX(Unit_Rates!$C$7:$K$59,MATCH($C22,Unit_Rates!$C$7:$C$59,0),7)</f>
        <v>1092.6971681415926</v>
      </c>
      <c r="H22" s="518">
        <v>2</v>
      </c>
      <c r="I22" s="252" t="s">
        <v>308</v>
      </c>
      <c r="J22" s="147"/>
      <c r="K22" s="214">
        <f>G22*H22</f>
        <v>2185.3943362831851</v>
      </c>
      <c r="L22" s="286">
        <f t="shared" si="0"/>
        <v>0</v>
      </c>
      <c r="M22" s="560"/>
      <c r="N22" s="739"/>
      <c r="O22" s="739"/>
      <c r="P22" s="740"/>
      <c r="Q22" s="317"/>
      <c r="R22" s="519">
        <v>0</v>
      </c>
      <c r="S22" s="519">
        <v>0</v>
      </c>
      <c r="T22" s="519">
        <v>0</v>
      </c>
      <c r="U22" s="519">
        <v>0</v>
      </c>
      <c r="V22" s="519">
        <v>0</v>
      </c>
      <c r="W22" s="519">
        <v>0</v>
      </c>
      <c r="X22" s="519">
        <v>0</v>
      </c>
      <c r="Y22" s="14">
        <f t="shared" si="1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25">
      <c r="B23" s="220"/>
      <c r="C23" s="224" t="s">
        <v>324</v>
      </c>
      <c r="D23" s="161" t="str">
        <f>INDEX(Unit_Rates!$C$7:$K$59,MATCH($C23,Unit_Rates!$C$7:$C$59,0),5)</f>
        <v>Subtransmission</v>
      </c>
      <c r="E23" s="161" t="str">
        <f>INDEX(Unit_Rates!$C$7:$K$59,MATCH($C23,Unit_Rates!$C$7:$C$59,0),6)</f>
        <v>Augmentation</v>
      </c>
      <c r="F23" s="161" t="str">
        <f t="shared" si="2"/>
        <v>SubtransmissionAugmentation</v>
      </c>
      <c r="G23" s="271">
        <f>INDEX(Unit_Rates!$C$7:$K$59,MATCH($C23,Unit_Rates!$C$7:$C$59,0),7)</f>
        <v>0</v>
      </c>
      <c r="H23" s="518">
        <v>2</v>
      </c>
      <c r="I23" s="252" t="s">
        <v>308</v>
      </c>
      <c r="J23" s="147"/>
      <c r="K23" s="214"/>
      <c r="L23" s="286">
        <f t="shared" si="0"/>
        <v>0</v>
      </c>
      <c r="M23" s="560"/>
      <c r="N23" s="739"/>
      <c r="O23" s="739"/>
      <c r="P23" s="740"/>
      <c r="Q23" s="317"/>
      <c r="R23" s="519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14">
        <f t="shared" si="1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25">
      <c r="B24" s="220"/>
      <c r="C24" s="224" t="s">
        <v>296</v>
      </c>
      <c r="D24" s="161" t="str">
        <f>INDEX(Unit_Rates!$C$7:$K$59,MATCH($C24,Unit_Rates!$C$7:$C$59,0),5)</f>
        <v>Subtransmission</v>
      </c>
      <c r="E24" s="161" t="str">
        <f>INDEX(Unit_Rates!$C$7:$K$59,MATCH($C24,Unit_Rates!$C$7:$C$59,0),6)</f>
        <v>Augmentation</v>
      </c>
      <c r="F24" s="161" t="str">
        <f t="shared" si="2"/>
        <v>SubtransmissionAugmentation</v>
      </c>
      <c r="G24" s="271">
        <f>INDEX(Unit_Rates!$C$7:$K$59,MATCH($C24,Unit_Rates!$C$7:$C$59,0),7)</f>
        <v>1277.3132743362828</v>
      </c>
      <c r="H24" s="518"/>
      <c r="I24" s="252" t="s">
        <v>308</v>
      </c>
      <c r="J24" s="147"/>
      <c r="K24" s="214">
        <f t="shared" ref="K24:K41" si="3">G24*H24</f>
        <v>0</v>
      </c>
      <c r="L24" s="286">
        <f t="shared" si="0"/>
        <v>0</v>
      </c>
      <c r="M24" s="560"/>
      <c r="N24" s="739"/>
      <c r="O24" s="739"/>
      <c r="P24" s="740"/>
      <c r="Q24" s="317"/>
      <c r="R24" s="519">
        <v>0</v>
      </c>
      <c r="S24" s="519">
        <v>0</v>
      </c>
      <c r="T24" s="519">
        <v>0</v>
      </c>
      <c r="U24" s="519">
        <v>0</v>
      </c>
      <c r="V24" s="519">
        <v>0</v>
      </c>
      <c r="W24" s="519">
        <v>0</v>
      </c>
      <c r="X24" s="519">
        <v>0</v>
      </c>
      <c r="Y24" s="14">
        <f t="shared" si="1"/>
        <v>0</v>
      </c>
    </row>
    <row r="25" spans="2:33" x14ac:dyDescent="0.25">
      <c r="B25" s="220"/>
      <c r="C25" s="224" t="s">
        <v>295</v>
      </c>
      <c r="D25" s="161" t="str">
        <f>INDEX(Unit_Rates!$C$7:$K$59,MATCH($C25,Unit_Rates!$C$7:$C$59,0),5)</f>
        <v>Subtransmission</v>
      </c>
      <c r="E25" s="161" t="str">
        <f>INDEX(Unit_Rates!$C$7:$K$59,MATCH($C25,Unit_Rates!$C$7:$C$59,0),6)</f>
        <v>Augmentation</v>
      </c>
      <c r="F25" s="161" t="str">
        <f t="shared" si="2"/>
        <v>SubtransmissionAugmentation</v>
      </c>
      <c r="G25" s="271">
        <f>INDEX(Unit_Rates!$C$7:$K$59,MATCH($C25,Unit_Rates!$C$7:$C$59,0),7)</f>
        <v>1378.3627906976742</v>
      </c>
      <c r="H25" s="518"/>
      <c r="I25" s="252" t="s">
        <v>308</v>
      </c>
      <c r="J25" s="147"/>
      <c r="K25" s="214">
        <f t="shared" si="3"/>
        <v>0</v>
      </c>
      <c r="L25" s="286">
        <f t="shared" si="0"/>
        <v>0</v>
      </c>
      <c r="M25" s="560"/>
      <c r="N25" s="739"/>
      <c r="O25" s="739"/>
      <c r="P25" s="740"/>
      <c r="Q25" s="317"/>
      <c r="R25" s="519">
        <v>0</v>
      </c>
      <c r="S25" s="519">
        <v>0</v>
      </c>
      <c r="T25" s="519">
        <v>0</v>
      </c>
      <c r="U25" s="519">
        <v>0</v>
      </c>
      <c r="V25" s="519">
        <v>0</v>
      </c>
      <c r="W25" s="519">
        <v>0</v>
      </c>
      <c r="X25" s="519">
        <v>0</v>
      </c>
      <c r="Y25" s="14">
        <f t="shared" si="1"/>
        <v>0</v>
      </c>
    </row>
    <row r="26" spans="2:33" x14ac:dyDescent="0.25">
      <c r="B26" s="220"/>
      <c r="C26" s="224" t="s">
        <v>502</v>
      </c>
      <c r="D26" s="161" t="str">
        <f>INDEX(Unit_Rates!$C$7:$K$59,MATCH($C26,Unit_Rates!$C$7:$C$59,0),5)</f>
        <v>Subtransmission</v>
      </c>
      <c r="E26" s="161" t="str">
        <f>INDEX(Unit_Rates!$C$7:$K$59,MATCH($C26,Unit_Rates!$C$7:$C$59,0),6)</f>
        <v>Augmentation</v>
      </c>
      <c r="F26" s="161" t="str">
        <f t="shared" si="2"/>
        <v>SubtransmissionAugmentation</v>
      </c>
      <c r="G26" s="271">
        <f>INDEX(Unit_Rates!$C$7:$K$59,MATCH($C26,Unit_Rates!$C$7:$C$59,0),7)</f>
        <v>240.94241415929196</v>
      </c>
      <c r="H26" s="518">
        <v>1</v>
      </c>
      <c r="I26" s="252" t="s">
        <v>308</v>
      </c>
      <c r="J26" s="147"/>
      <c r="K26" s="214">
        <f t="shared" si="3"/>
        <v>240.94241415929196</v>
      </c>
      <c r="L26" s="286">
        <f t="shared" si="0"/>
        <v>0</v>
      </c>
      <c r="M26" s="560"/>
      <c r="N26" s="739"/>
      <c r="O26" s="739"/>
      <c r="P26" s="740"/>
      <c r="Q26" s="317"/>
      <c r="R26" s="519">
        <v>0</v>
      </c>
      <c r="S26" s="519">
        <v>0</v>
      </c>
      <c r="T26" s="519">
        <v>0</v>
      </c>
      <c r="U26" s="519">
        <v>0</v>
      </c>
      <c r="V26" s="519">
        <v>0</v>
      </c>
      <c r="W26" s="519">
        <v>0</v>
      </c>
      <c r="X26" s="519">
        <v>0</v>
      </c>
      <c r="Y26" s="14">
        <f t="shared" si="1"/>
        <v>0</v>
      </c>
    </row>
    <row r="27" spans="2:33" x14ac:dyDescent="0.25">
      <c r="B27" s="220"/>
      <c r="C27" s="224" t="s">
        <v>383</v>
      </c>
      <c r="D27" s="161" t="str">
        <f>INDEX(Unit_Rates!$C$7:$K$59,MATCH($C27,Unit_Rates!$C$7:$C$59,0),5)</f>
        <v>Subtransmission</v>
      </c>
      <c r="E27" s="161" t="str">
        <f>INDEX(Unit_Rates!$C$7:$K$59,MATCH($C27,Unit_Rates!$C$7:$C$59,0),6)</f>
        <v>Augmentation</v>
      </c>
      <c r="F27" s="161" t="str">
        <f t="shared" si="2"/>
        <v>SubtransmissionAugmentation</v>
      </c>
      <c r="G27" s="271">
        <f>INDEX(Unit_Rates!$C$7:$K$59,MATCH($C27,Unit_Rates!$C$7:$C$59,0),7)</f>
        <v>0</v>
      </c>
      <c r="H27" s="518"/>
      <c r="I27" s="252" t="s">
        <v>308</v>
      </c>
      <c r="J27" s="147"/>
      <c r="K27" s="214">
        <f>G27*H27</f>
        <v>0</v>
      </c>
      <c r="L27" s="286">
        <f t="shared" si="0"/>
        <v>0</v>
      </c>
      <c r="M27" s="560"/>
      <c r="N27" s="739"/>
      <c r="O27" s="739"/>
      <c r="P27" s="740"/>
      <c r="Q27" s="317"/>
      <c r="R27" s="519">
        <v>0</v>
      </c>
      <c r="S27" s="519">
        <v>0</v>
      </c>
      <c r="T27" s="519">
        <v>0</v>
      </c>
      <c r="U27" s="519">
        <v>0</v>
      </c>
      <c r="V27" s="519">
        <v>0</v>
      </c>
      <c r="W27" s="519">
        <v>0</v>
      </c>
      <c r="X27" s="519">
        <v>0</v>
      </c>
      <c r="Y27" s="14">
        <f t="shared" si="1"/>
        <v>0</v>
      </c>
    </row>
    <row r="28" spans="2:33" x14ac:dyDescent="0.25">
      <c r="B28" s="220"/>
      <c r="C28" s="224" t="s">
        <v>361</v>
      </c>
      <c r="D28" s="161" t="str">
        <f>INDEX(Unit_Rates!$C$7:$K$59,MATCH($C28,Unit_Rates!$C$7:$C$59,0),5)</f>
        <v>Subtransmission</v>
      </c>
      <c r="E28" s="161" t="str">
        <f>INDEX(Unit_Rates!$C$7:$K$59,MATCH($C28,Unit_Rates!$C$7:$C$59,0),6)</f>
        <v>Augmentation</v>
      </c>
      <c r="F28" s="161" t="str">
        <f t="shared" si="2"/>
        <v>SubtransmissionAugmentation</v>
      </c>
      <c r="G28" s="271">
        <f>INDEX(Unit_Rates!$C$7:$K$59,MATCH($C28,Unit_Rates!$C$7:$C$59,0),7)</f>
        <v>100.94548318584069</v>
      </c>
      <c r="H28" s="518"/>
      <c r="I28" s="252" t="s">
        <v>308</v>
      </c>
      <c r="J28" s="147"/>
      <c r="K28" s="214">
        <f t="shared" ref="K28:K34" si="4">G28*H28</f>
        <v>0</v>
      </c>
      <c r="L28" s="286">
        <f t="shared" si="0"/>
        <v>0</v>
      </c>
      <c r="M28" s="560"/>
      <c r="N28" s="739"/>
      <c r="O28" s="739"/>
      <c r="P28" s="740"/>
      <c r="Q28" s="317"/>
      <c r="R28" s="519">
        <v>0</v>
      </c>
      <c r="S28" s="519">
        <v>0</v>
      </c>
      <c r="T28" s="519">
        <v>0</v>
      </c>
      <c r="U28" s="519">
        <v>0</v>
      </c>
      <c r="V28" s="519">
        <v>0</v>
      </c>
      <c r="W28" s="519">
        <v>0</v>
      </c>
      <c r="X28" s="519">
        <v>0</v>
      </c>
      <c r="Y28" s="14">
        <f t="shared" si="1"/>
        <v>0</v>
      </c>
    </row>
    <row r="29" spans="2:33" x14ac:dyDescent="0.25">
      <c r="B29" s="220"/>
      <c r="C29" s="224" t="s">
        <v>348</v>
      </c>
      <c r="D29" s="161" t="str">
        <f>INDEX(Unit_Rates!$C$7:$K$59,MATCH($C29,Unit_Rates!$C$7:$C$59,0),5)</f>
        <v>Subtransmission</v>
      </c>
      <c r="E29" s="161" t="str">
        <f>INDEX(Unit_Rates!$C$7:$K$59,MATCH($C29,Unit_Rates!$C$7:$C$59,0),6)</f>
        <v>Augmentation</v>
      </c>
      <c r="F29" s="161" t="str">
        <f t="shared" si="2"/>
        <v>SubtransmissionAugmentation</v>
      </c>
      <c r="G29" s="271">
        <f>INDEX(Unit_Rates!$C$7:$K$59,MATCH($C29,Unit_Rates!$C$7:$C$59,0),7)</f>
        <v>7.2299327433628298</v>
      </c>
      <c r="H29" s="518"/>
      <c r="I29" s="252" t="s">
        <v>308</v>
      </c>
      <c r="J29" s="147"/>
      <c r="K29" s="214">
        <f t="shared" si="4"/>
        <v>0</v>
      </c>
      <c r="L29" s="286">
        <f t="shared" si="0"/>
        <v>0</v>
      </c>
      <c r="M29" s="560"/>
      <c r="N29" s="739"/>
      <c r="O29" s="739"/>
      <c r="P29" s="740"/>
      <c r="Q29" s="317"/>
      <c r="R29" s="519">
        <v>0</v>
      </c>
      <c r="S29" s="519">
        <v>0</v>
      </c>
      <c r="T29" s="519">
        <v>0</v>
      </c>
      <c r="U29" s="519">
        <v>0</v>
      </c>
      <c r="V29" s="519">
        <v>0</v>
      </c>
      <c r="W29" s="519">
        <v>0</v>
      </c>
      <c r="X29" s="519">
        <v>0</v>
      </c>
      <c r="Y29" s="14">
        <f t="shared" si="1"/>
        <v>0</v>
      </c>
    </row>
    <row r="30" spans="2:33" x14ac:dyDescent="0.25">
      <c r="B30" s="220"/>
      <c r="C30" s="224" t="s">
        <v>488</v>
      </c>
      <c r="D30" s="161" t="str">
        <f>INDEX(Unit_Rates!$C$7:$K$59,MATCH($C30,Unit_Rates!$C$7:$C$59,0),5)</f>
        <v>Subtransmission</v>
      </c>
      <c r="E30" s="161" t="str">
        <f>INDEX(Unit_Rates!$C$7:$K$59,MATCH($C30,Unit_Rates!$C$7:$C$59,0),6)</f>
        <v>Augmentation</v>
      </c>
      <c r="F30" s="161" t="str">
        <f t="shared" si="2"/>
        <v>SubtransmissionAugmentation</v>
      </c>
      <c r="G30" s="271">
        <f>INDEX(Unit_Rates!$C$7:$K$59,MATCH($C30,Unit_Rates!$C$7:$C$59,0),7)</f>
        <v>25.624564601769904</v>
      </c>
      <c r="H30" s="518">
        <v>2</v>
      </c>
      <c r="I30" s="252" t="s">
        <v>308</v>
      </c>
      <c r="J30" s="147"/>
      <c r="K30" s="214">
        <f t="shared" si="4"/>
        <v>51.249129203539809</v>
      </c>
      <c r="L30" s="286">
        <f t="shared" si="0"/>
        <v>0</v>
      </c>
      <c r="M30" s="560"/>
      <c r="N30" s="739"/>
      <c r="O30" s="739"/>
      <c r="P30" s="740"/>
      <c r="Q30" s="317"/>
      <c r="R30" s="519">
        <v>0</v>
      </c>
      <c r="S30" s="519">
        <v>0</v>
      </c>
      <c r="T30" s="519">
        <v>0</v>
      </c>
      <c r="U30" s="519">
        <v>0</v>
      </c>
      <c r="V30" s="519">
        <v>0</v>
      </c>
      <c r="W30" s="519">
        <v>0</v>
      </c>
      <c r="X30" s="519">
        <v>0</v>
      </c>
      <c r="Y30" s="14">
        <f t="shared" si="1"/>
        <v>0</v>
      </c>
    </row>
    <row r="31" spans="2:33" x14ac:dyDescent="0.25">
      <c r="B31" s="220"/>
      <c r="C31" s="224" t="s">
        <v>477</v>
      </c>
      <c r="D31" s="161" t="str">
        <f>INDEX(Unit_Rates!$C$7:$K$59,MATCH($C31,Unit_Rates!$C$7:$C$59,0),5)</f>
        <v>Subtransmission</v>
      </c>
      <c r="E31" s="161" t="str">
        <f>INDEX(Unit_Rates!$C$7:$K$59,MATCH($C31,Unit_Rates!$C$7:$C$59,0),6)</f>
        <v>Augmentation</v>
      </c>
      <c r="F31" s="161" t="str">
        <f>D31&amp;E31</f>
        <v>SubtransmissionAugmentation</v>
      </c>
      <c r="G31" s="271">
        <f>INDEX(Unit_Rates!$C$7:$K$59,MATCH($C31,Unit_Rates!$C$7:$C$59,0),7)</f>
        <v>0</v>
      </c>
      <c r="H31" s="518">
        <v>7</v>
      </c>
      <c r="I31" s="252" t="s">
        <v>308</v>
      </c>
      <c r="J31" s="147"/>
      <c r="K31" s="214">
        <f>G31*H31</f>
        <v>0</v>
      </c>
      <c r="L31" s="286">
        <f>SUMPRODUCT(R$5:X$5,R31:X31)/Thousands</f>
        <v>0</v>
      </c>
      <c r="M31" s="560"/>
      <c r="N31" s="739"/>
      <c r="O31" s="739"/>
      <c r="P31" s="740"/>
      <c r="Q31" s="317"/>
      <c r="R31" s="519">
        <v>0</v>
      </c>
      <c r="S31" s="519">
        <v>0</v>
      </c>
      <c r="T31" s="519">
        <v>0</v>
      </c>
      <c r="U31" s="519">
        <v>0</v>
      </c>
      <c r="V31" s="519">
        <v>0</v>
      </c>
      <c r="W31" s="519">
        <v>0</v>
      </c>
      <c r="X31" s="519">
        <v>0</v>
      </c>
      <c r="Y31" s="14">
        <f>SUM(R31:X31)</f>
        <v>0</v>
      </c>
    </row>
    <row r="32" spans="2:33" x14ac:dyDescent="0.25">
      <c r="B32" s="220"/>
      <c r="C32" s="224" t="s">
        <v>349</v>
      </c>
      <c r="D32" s="161" t="str">
        <f>INDEX(Unit_Rates!$C$7:$K$59,MATCH($C32,Unit_Rates!$C$7:$C$59,0),5)</f>
        <v>Subtransmission</v>
      </c>
      <c r="E32" s="161" t="str">
        <f>INDEX(Unit_Rates!$C$7:$K$59,MATCH($C32,Unit_Rates!$C$7:$C$59,0),6)</f>
        <v>Augmentation</v>
      </c>
      <c r="F32" s="161" t="str">
        <f t="shared" si="2"/>
        <v>SubtransmissionAugmentation</v>
      </c>
      <c r="G32" s="271">
        <f>INDEX(Unit_Rates!$C$7:$K$59,MATCH($C32,Unit_Rates!$C$7:$C$59,0),7)</f>
        <v>0</v>
      </c>
      <c r="H32" s="518"/>
      <c r="I32" s="252" t="s">
        <v>308</v>
      </c>
      <c r="J32" s="147"/>
      <c r="K32" s="214">
        <f t="shared" si="4"/>
        <v>0</v>
      </c>
      <c r="L32" s="286">
        <f t="shared" si="0"/>
        <v>0</v>
      </c>
      <c r="M32" s="560"/>
      <c r="N32" s="739"/>
      <c r="O32" s="739"/>
      <c r="P32" s="740"/>
      <c r="Q32" s="317"/>
      <c r="R32" s="519">
        <v>0</v>
      </c>
      <c r="S32" s="519">
        <v>0</v>
      </c>
      <c r="T32" s="519">
        <v>0</v>
      </c>
      <c r="U32" s="519">
        <v>0</v>
      </c>
      <c r="V32" s="519">
        <v>0</v>
      </c>
      <c r="W32" s="519">
        <v>0</v>
      </c>
      <c r="X32" s="519">
        <v>0</v>
      </c>
      <c r="Y32" s="14">
        <f t="shared" si="1"/>
        <v>0</v>
      </c>
    </row>
    <row r="33" spans="2:41" x14ac:dyDescent="0.25">
      <c r="B33" s="220"/>
      <c r="C33" s="224" t="s">
        <v>350</v>
      </c>
      <c r="D33" s="161" t="str">
        <f>INDEX(Unit_Rates!$C$7:$K$59,MATCH($C33,Unit_Rates!$C$7:$C$59,0),5)</f>
        <v>Subtransmission</v>
      </c>
      <c r="E33" s="161" t="str">
        <f>INDEX(Unit_Rates!$C$7:$K$59,MATCH($C33,Unit_Rates!$C$7:$C$59,0),6)</f>
        <v>Augmentation</v>
      </c>
      <c r="F33" s="161" t="str">
        <f t="shared" si="2"/>
        <v>SubtransmissionAugmentation</v>
      </c>
      <c r="G33" s="271">
        <f>INDEX(Unit_Rates!$C$7:$K$59,MATCH($C33,Unit_Rates!$C$7:$C$59,0),7)</f>
        <v>0.58488495575221222</v>
      </c>
      <c r="H33" s="518">
        <v>2</v>
      </c>
      <c r="I33" s="252" t="s">
        <v>308</v>
      </c>
      <c r="J33" s="147"/>
      <c r="K33" s="214">
        <f t="shared" si="4"/>
        <v>1.1697699115044244</v>
      </c>
      <c r="L33" s="286">
        <f t="shared" si="0"/>
        <v>0</v>
      </c>
      <c r="M33" s="560"/>
      <c r="N33" s="739"/>
      <c r="O33" s="739"/>
      <c r="P33" s="740"/>
      <c r="Q33" s="317"/>
      <c r="R33" s="519">
        <v>0</v>
      </c>
      <c r="S33" s="519">
        <v>0</v>
      </c>
      <c r="T33" s="519">
        <v>0</v>
      </c>
      <c r="U33" s="519">
        <v>0</v>
      </c>
      <c r="V33" s="519">
        <v>0</v>
      </c>
      <c r="W33" s="519">
        <v>0</v>
      </c>
      <c r="X33" s="519">
        <v>0</v>
      </c>
      <c r="Y33" s="14">
        <f t="shared" si="1"/>
        <v>0</v>
      </c>
    </row>
    <row r="34" spans="2:41" x14ac:dyDescent="0.25">
      <c r="B34" s="220"/>
      <c r="C34" s="224" t="s">
        <v>479</v>
      </c>
      <c r="D34" s="161" t="str">
        <f>INDEX(Unit_Rates!$C$7:$K$59,MATCH($C34,Unit_Rates!$C$7:$C$59,0),5)</f>
        <v>Subtransmission</v>
      </c>
      <c r="E34" s="161" t="str">
        <f>INDEX(Unit_Rates!$C$7:$K$59,MATCH($C34,Unit_Rates!$C$7:$C$59,0),6)</f>
        <v>Augmentation</v>
      </c>
      <c r="F34" s="161" t="str">
        <f t="shared" si="2"/>
        <v>SubtransmissionAugmentation</v>
      </c>
      <c r="G34" s="271">
        <f>INDEX(Unit_Rates!$C$7:$K$59,MATCH($C34,Unit_Rates!$C$7:$C$59,0),7)</f>
        <v>0</v>
      </c>
      <c r="H34" s="518">
        <v>6</v>
      </c>
      <c r="I34" s="252" t="s">
        <v>308</v>
      </c>
      <c r="J34" s="147"/>
      <c r="K34" s="214">
        <f t="shared" si="4"/>
        <v>0</v>
      </c>
      <c r="L34" s="286">
        <f t="shared" si="0"/>
        <v>0</v>
      </c>
      <c r="M34" s="560"/>
      <c r="N34" s="739"/>
      <c r="O34" s="739"/>
      <c r="P34" s="740"/>
      <c r="Q34" s="317"/>
      <c r="R34" s="519">
        <v>0</v>
      </c>
      <c r="S34" s="519">
        <v>0</v>
      </c>
      <c r="T34" s="519">
        <v>0</v>
      </c>
      <c r="U34" s="519">
        <v>0</v>
      </c>
      <c r="V34" s="519">
        <v>0</v>
      </c>
      <c r="W34" s="519">
        <v>0</v>
      </c>
      <c r="X34" s="519">
        <v>0</v>
      </c>
      <c r="Y34" s="14">
        <f t="shared" si="1"/>
        <v>0</v>
      </c>
    </row>
    <row r="35" spans="2:41" x14ac:dyDescent="0.25">
      <c r="B35" s="220"/>
      <c r="C35" s="224" t="s">
        <v>225</v>
      </c>
      <c r="D35" s="161" t="str">
        <f>INDEX(Unit_Rates!$C$7:$K$59,MATCH($C35,Unit_Rates!$C$7:$C$59,0),5)</f>
        <v>Subtransmission</v>
      </c>
      <c r="E35" s="161" t="str">
        <f>INDEX(Unit_Rates!$C$7:$K$59,MATCH($C35,Unit_Rates!$C$7:$C$59,0),6)</f>
        <v>Augmentation</v>
      </c>
      <c r="F35" s="161" t="str">
        <f t="shared" si="2"/>
        <v>SubtransmissionAugmentation</v>
      </c>
      <c r="G35" s="271">
        <f>INDEX(Unit_Rates!$C$7:$K$59,MATCH($C35,Unit_Rates!$C$7:$C$59,0),7)</f>
        <v>88.538375221238923</v>
      </c>
      <c r="H35" s="518">
        <v>2</v>
      </c>
      <c r="I35" s="252" t="s">
        <v>308</v>
      </c>
      <c r="J35" s="147"/>
      <c r="K35" s="214">
        <f t="shared" si="3"/>
        <v>177.07675044247785</v>
      </c>
      <c r="L35" s="286">
        <f t="shared" si="0"/>
        <v>0</v>
      </c>
      <c r="M35" s="560"/>
      <c r="N35" s="739"/>
      <c r="O35" s="739"/>
      <c r="P35" s="740"/>
      <c r="Q35" s="317"/>
      <c r="R35" s="519">
        <v>0</v>
      </c>
      <c r="S35" s="519">
        <v>0</v>
      </c>
      <c r="T35" s="519">
        <v>0</v>
      </c>
      <c r="U35" s="519">
        <v>0</v>
      </c>
      <c r="V35" s="519">
        <v>0</v>
      </c>
      <c r="W35" s="519">
        <v>0</v>
      </c>
      <c r="X35" s="519">
        <v>0</v>
      </c>
      <c r="Y35" s="14">
        <f t="shared" si="1"/>
        <v>0</v>
      </c>
    </row>
    <row r="36" spans="2:41" x14ac:dyDescent="0.25">
      <c r="B36" s="220"/>
      <c r="C36" s="224" t="s">
        <v>481</v>
      </c>
      <c r="D36" s="161" t="str">
        <f>INDEX(Unit_Rates!$C$7:$K$59,MATCH($C36,Unit_Rates!$C$7:$C$59,0),5)</f>
        <v>Subtransmission</v>
      </c>
      <c r="E36" s="161" t="str">
        <f>INDEX(Unit_Rates!$C$7:$K$59,MATCH($C36,Unit_Rates!$C$7:$C$59,0),6)</f>
        <v>Augmentation</v>
      </c>
      <c r="F36" s="161" t="str">
        <f t="shared" si="2"/>
        <v>SubtransmissionAugmentation</v>
      </c>
      <c r="G36" s="271">
        <f>INDEX(Unit_Rates!$C$7:$K$59,MATCH($C36,Unit_Rates!$C$7:$C$59,0),7)</f>
        <v>0</v>
      </c>
      <c r="H36" s="518"/>
      <c r="I36" s="252" t="s">
        <v>308</v>
      </c>
      <c r="J36" s="147"/>
      <c r="K36" s="214">
        <f t="shared" si="3"/>
        <v>0</v>
      </c>
      <c r="L36" s="286">
        <f t="shared" si="0"/>
        <v>0</v>
      </c>
      <c r="M36" s="560"/>
      <c r="N36" s="739"/>
      <c r="O36" s="739"/>
      <c r="P36" s="740"/>
      <c r="Q36" s="317"/>
      <c r="R36" s="519">
        <v>0</v>
      </c>
      <c r="S36" s="519">
        <v>0</v>
      </c>
      <c r="T36" s="519">
        <v>0</v>
      </c>
      <c r="U36" s="519">
        <v>0</v>
      </c>
      <c r="V36" s="519">
        <v>0</v>
      </c>
      <c r="W36" s="519">
        <v>0</v>
      </c>
      <c r="X36" s="519">
        <v>0</v>
      </c>
      <c r="Y36" s="14">
        <f t="shared" si="1"/>
        <v>0</v>
      </c>
    </row>
    <row r="37" spans="2:41" x14ac:dyDescent="0.25">
      <c r="B37" s="220"/>
      <c r="C37" s="224" t="s">
        <v>375</v>
      </c>
      <c r="D37" s="161" t="str">
        <f>INDEX(Unit_Rates!$C$7:$K$59,MATCH($C37,Unit_Rates!$C$7:$C$59,0),5)</f>
        <v>Subtransmission</v>
      </c>
      <c r="E37" s="161" t="str">
        <f>INDEX(Unit_Rates!$C$7:$K$59,MATCH($C37,Unit_Rates!$C$7:$C$59,0),6)</f>
        <v>Augmentation</v>
      </c>
      <c r="F37" s="161" t="str">
        <f t="shared" si="2"/>
        <v>SubtransmissionAugmentation</v>
      </c>
      <c r="G37" s="271">
        <f>INDEX(Unit_Rates!$C$7:$K$59,MATCH($C37,Unit_Rates!$C$7:$C$59,0),7)</f>
        <v>214.73768141592916</v>
      </c>
      <c r="H37" s="518"/>
      <c r="I37" s="252" t="s">
        <v>308</v>
      </c>
      <c r="J37" s="147"/>
      <c r="K37" s="214">
        <f t="shared" si="3"/>
        <v>0</v>
      </c>
      <c r="L37" s="286">
        <f t="shared" si="0"/>
        <v>0</v>
      </c>
      <c r="M37" s="560"/>
      <c r="N37" s="739"/>
      <c r="O37" s="739"/>
      <c r="P37" s="740"/>
      <c r="Q37" s="317"/>
      <c r="R37" s="519">
        <v>0</v>
      </c>
      <c r="S37" s="519">
        <v>0</v>
      </c>
      <c r="T37" s="519">
        <v>0</v>
      </c>
      <c r="U37" s="519">
        <v>0</v>
      </c>
      <c r="V37" s="519">
        <v>0</v>
      </c>
      <c r="W37" s="519">
        <v>0</v>
      </c>
      <c r="X37" s="519">
        <v>0</v>
      </c>
      <c r="Y37" s="14">
        <f t="shared" si="1"/>
        <v>0</v>
      </c>
      <c r="AO37" s="529"/>
    </row>
    <row r="38" spans="2:41" x14ac:dyDescent="0.25">
      <c r="B38" s="220"/>
      <c r="C38" s="224" t="s">
        <v>289</v>
      </c>
      <c r="D38" s="161" t="str">
        <f>INDEX(Unit_Rates!$C$7:$K$59,MATCH($C38,Unit_Rates!$C$7:$C$59,0),5)</f>
        <v>Subtransmission</v>
      </c>
      <c r="E38" s="161" t="str">
        <f>INDEX(Unit_Rates!$C$7:$K$59,MATCH($C38,Unit_Rates!$C$7:$C$59,0),6)</f>
        <v>Augmentation</v>
      </c>
      <c r="F38" s="161" t="str">
        <f t="shared" si="2"/>
        <v>SubtransmissionAugmentation</v>
      </c>
      <c r="G38" s="271">
        <f>INDEX(Unit_Rates!$C$7:$K$59,MATCH($C38,Unit_Rates!$C$7:$C$59,0),7)</f>
        <v>348.13767610619459</v>
      </c>
      <c r="H38" s="518"/>
      <c r="I38" s="252" t="s">
        <v>308</v>
      </c>
      <c r="J38" s="147"/>
      <c r="K38" s="214">
        <f t="shared" si="3"/>
        <v>0</v>
      </c>
      <c r="L38" s="286">
        <f t="shared" si="0"/>
        <v>0</v>
      </c>
      <c r="M38" s="560"/>
      <c r="N38" s="739"/>
      <c r="O38" s="739"/>
      <c r="P38" s="740"/>
      <c r="Q38" s="317"/>
      <c r="R38" s="519">
        <v>0</v>
      </c>
      <c r="S38" s="519">
        <v>0</v>
      </c>
      <c r="T38" s="519">
        <v>0</v>
      </c>
      <c r="U38" s="519">
        <v>0</v>
      </c>
      <c r="V38" s="519">
        <v>0</v>
      </c>
      <c r="W38" s="519">
        <v>0</v>
      </c>
      <c r="X38" s="519">
        <v>0</v>
      </c>
      <c r="Y38" s="14">
        <f t="shared" si="1"/>
        <v>0</v>
      </c>
      <c r="AO38" s="529"/>
    </row>
    <row r="39" spans="2:41" x14ac:dyDescent="0.25">
      <c r="B39" s="220"/>
      <c r="C39" s="224" t="s">
        <v>319</v>
      </c>
      <c r="D39" s="161" t="str">
        <f>INDEX(Unit_Rates!$C$7:$K$59,MATCH($C39,Unit_Rates!$C$7:$C$59,0),5)</f>
        <v>Subtransmission</v>
      </c>
      <c r="E39" s="161" t="str">
        <f>INDEX(Unit_Rates!$C$7:$K$59,MATCH($C39,Unit_Rates!$C$7:$C$59,0),6)</f>
        <v>Augmentation</v>
      </c>
      <c r="F39" s="161" t="str">
        <f>D39&amp;E39</f>
        <v>SubtransmissionAugmentation</v>
      </c>
      <c r="G39" s="524">
        <v>7.4837905167704541E-2</v>
      </c>
      <c r="H39" s="526">
        <v>1080</v>
      </c>
      <c r="I39" s="252" t="s">
        <v>334</v>
      </c>
      <c r="J39" s="147"/>
      <c r="K39" s="214">
        <f t="shared" si="3"/>
        <v>80.824937581120906</v>
      </c>
      <c r="L39" s="286">
        <f t="shared" si="0"/>
        <v>0</v>
      </c>
      <c r="M39" s="560"/>
      <c r="N39" s="739"/>
      <c r="O39" s="741"/>
      <c r="P39" s="740"/>
      <c r="Q39" s="277"/>
      <c r="R39" s="519">
        <v>0</v>
      </c>
      <c r="S39" s="519">
        <v>0</v>
      </c>
      <c r="T39" s="519">
        <v>0</v>
      </c>
      <c r="U39" s="519">
        <v>0</v>
      </c>
      <c r="V39" s="519">
        <v>0</v>
      </c>
      <c r="W39" s="519">
        <v>0</v>
      </c>
      <c r="X39" s="519">
        <v>0</v>
      </c>
      <c r="Y39" s="14">
        <f t="shared" si="1"/>
        <v>0</v>
      </c>
    </row>
    <row r="40" spans="2:41" x14ac:dyDescent="0.25">
      <c r="B40" s="220"/>
      <c r="C40" s="224" t="s">
        <v>704</v>
      </c>
      <c r="D40" s="161" t="str">
        <f>INDEX(Unit_Rates!$C$7:$K$59,MATCH($C40,Unit_Rates!$C$7:$C$59,0),5)</f>
        <v>Subtransmission</v>
      </c>
      <c r="E40" s="161" t="str">
        <f>INDEX(Unit_Rates!$C$7:$K$59,MATCH($C40,Unit_Rates!$C$7:$C$59,0),6)</f>
        <v>Augmentation</v>
      </c>
      <c r="F40" s="161" t="str">
        <f>D40&amp;E40</f>
        <v>SubtransmissionAugmentation</v>
      </c>
      <c r="G40" s="696">
        <f>INDEX(Unit_Rates!$C$7:$K$59,MATCH($C40,Unit_Rates!$C$7:$C$59,0),7)</f>
        <v>4.7168141592920348E-2</v>
      </c>
      <c r="H40" s="526">
        <v>1450</v>
      </c>
      <c r="I40" s="252" t="s">
        <v>334</v>
      </c>
      <c r="J40" s="147"/>
      <c r="K40" s="214">
        <f>G40*H40</f>
        <v>68.393805309734503</v>
      </c>
      <c r="L40" s="286">
        <f>SUMPRODUCT(R$5:X$5,R40:X40)/Thousands</f>
        <v>0</v>
      </c>
      <c r="M40" s="560"/>
      <c r="N40" s="739"/>
      <c r="O40" s="739"/>
      <c r="P40" s="740"/>
      <c r="Q40" s="277"/>
      <c r="R40" s="519">
        <v>0</v>
      </c>
      <c r="S40" s="519">
        <v>0</v>
      </c>
      <c r="T40" s="519">
        <v>0</v>
      </c>
      <c r="U40" s="519">
        <v>0</v>
      </c>
      <c r="V40" s="519">
        <v>0</v>
      </c>
      <c r="W40" s="519">
        <v>0</v>
      </c>
      <c r="X40" s="519">
        <v>0</v>
      </c>
      <c r="Y40" s="14">
        <f>SUM(R40:X40)</f>
        <v>0</v>
      </c>
    </row>
    <row r="41" spans="2:41" x14ac:dyDescent="0.25">
      <c r="B41" s="220"/>
      <c r="C41" s="224" t="s">
        <v>77</v>
      </c>
      <c r="D41" s="161" t="s">
        <v>18</v>
      </c>
      <c r="E41" s="161" t="s">
        <v>42</v>
      </c>
      <c r="F41" s="161" t="str">
        <f t="shared" si="2"/>
        <v>SubtransmissionAugmentation</v>
      </c>
      <c r="G41" s="524">
        <v>80.498093805309722</v>
      </c>
      <c r="H41" s="537">
        <v>1</v>
      </c>
      <c r="I41" s="252" t="s">
        <v>308</v>
      </c>
      <c r="J41" s="147"/>
      <c r="K41" s="214">
        <f t="shared" si="3"/>
        <v>80.498093805309722</v>
      </c>
      <c r="L41" s="215">
        <f t="shared" si="0"/>
        <v>0</v>
      </c>
      <c r="M41" s="560"/>
      <c r="N41" s="739"/>
      <c r="O41" s="741"/>
      <c r="P41" s="740"/>
      <c r="Q41" s="277"/>
      <c r="R41" s="519">
        <v>0</v>
      </c>
      <c r="S41" s="519">
        <v>0</v>
      </c>
      <c r="T41" s="519">
        <v>0</v>
      </c>
      <c r="U41" s="519">
        <v>0</v>
      </c>
      <c r="V41" s="519">
        <v>0</v>
      </c>
      <c r="W41" s="519">
        <v>0</v>
      </c>
      <c r="X41" s="519">
        <v>0</v>
      </c>
      <c r="Y41" s="14">
        <f t="shared" si="1"/>
        <v>0</v>
      </c>
      <c r="AO41" s="638"/>
    </row>
    <row r="42" spans="2:41" x14ac:dyDescent="0.25">
      <c r="B42" s="220"/>
      <c r="C42" s="224" t="str">
        <f>Unit_Rates!C21</f>
        <v>22kV Capacitor Bank (4 x3 MVAr)</v>
      </c>
      <c r="D42" s="161" t="str">
        <f>INDEX(Unit_Rates!$C$7:$K$59,MATCH($C42,Unit_Rates!$C$7:$C$59,0),5)</f>
        <v>Subtransmission</v>
      </c>
      <c r="E42" s="161" t="str">
        <f>INDEX(Unit_Rates!$C$7:$K$59,MATCH($C42,Unit_Rates!$C$7:$C$59,0),6)</f>
        <v>Augmentation</v>
      </c>
      <c r="F42" s="161" t="str">
        <f>D42&amp;E42</f>
        <v>SubtransmissionAugmentation</v>
      </c>
      <c r="G42" s="271">
        <f>INDEX(Unit_Rates!$C$7:$K$59,MATCH($C42,Unit_Rates!$C$7:$C$59,0),7)</f>
        <v>339.16535221238934</v>
      </c>
      <c r="H42" s="537"/>
      <c r="I42" s="252" t="s">
        <v>308</v>
      </c>
      <c r="J42" s="147"/>
      <c r="K42" s="214">
        <f>G42*H42</f>
        <v>0</v>
      </c>
      <c r="L42" s="215">
        <f>SUMPRODUCT(R$5:X$5,R42:X42)/Thousands</f>
        <v>0</v>
      </c>
      <c r="M42" s="560"/>
      <c r="N42" s="739"/>
      <c r="O42" s="739"/>
      <c r="P42" s="740"/>
      <c r="Q42" s="317"/>
      <c r="R42" s="519">
        <v>0</v>
      </c>
      <c r="S42" s="519">
        <v>0</v>
      </c>
      <c r="T42" s="519">
        <v>0</v>
      </c>
      <c r="U42" s="519">
        <v>0</v>
      </c>
      <c r="V42" s="519">
        <v>0</v>
      </c>
      <c r="W42" s="519">
        <v>0</v>
      </c>
      <c r="X42" s="519">
        <v>0</v>
      </c>
      <c r="Y42" s="14">
        <f>SUM(R42:X42)</f>
        <v>0</v>
      </c>
      <c r="AO42" s="638"/>
    </row>
    <row r="43" spans="2:41" x14ac:dyDescent="0.25">
      <c r="B43" s="220"/>
      <c r="C43" s="224" t="str">
        <f>Unit_Rates!C44</f>
        <v>One Tilt Slab control room</v>
      </c>
      <c r="D43" s="161" t="str">
        <f>INDEX(Unit_Rates!$C$7:$K$59,MATCH($C43,Unit_Rates!$C$7:$C$59,0),5)</f>
        <v>Subtransmission</v>
      </c>
      <c r="E43" s="161" t="str">
        <f>INDEX(Unit_Rates!$C$7:$K$59,MATCH($C43,Unit_Rates!$C$7:$C$59,0),6)</f>
        <v>Augmentation</v>
      </c>
      <c r="F43" s="161" t="str">
        <f>D43&amp;E43</f>
        <v>SubtransmissionAugmentation</v>
      </c>
      <c r="G43" s="271">
        <f>INDEX(Unit_Rates!$C$7:$K$59,MATCH($C43,Unit_Rates!$C$7:$C$59,0),7)</f>
        <v>0</v>
      </c>
      <c r="H43" s="537"/>
      <c r="I43" s="252" t="s">
        <v>308</v>
      </c>
      <c r="J43" s="147"/>
      <c r="K43" s="214">
        <f>G43*H43</f>
        <v>0</v>
      </c>
      <c r="L43" s="215">
        <f>SUMPRODUCT(R$5:X$5,R43:X43)/Thousands</f>
        <v>0</v>
      </c>
      <c r="M43" s="560"/>
      <c r="N43" s="739"/>
      <c r="O43" s="739"/>
      <c r="P43" s="740"/>
      <c r="Q43" s="317"/>
      <c r="R43" s="519">
        <v>0</v>
      </c>
      <c r="S43" s="519">
        <v>0</v>
      </c>
      <c r="T43" s="519">
        <v>0</v>
      </c>
      <c r="U43" s="519">
        <v>0</v>
      </c>
      <c r="V43" s="519">
        <v>0</v>
      </c>
      <c r="W43" s="519">
        <v>0</v>
      </c>
      <c r="X43" s="519">
        <v>0</v>
      </c>
      <c r="Y43" s="14">
        <f>SUM(R43:X43)</f>
        <v>0</v>
      </c>
      <c r="AO43" s="638"/>
    </row>
    <row r="44" spans="2:41" x14ac:dyDescent="0.25">
      <c r="B44" s="220"/>
      <c r="C44" s="224"/>
      <c r="D44" s="161"/>
      <c r="E44" s="161"/>
      <c r="F44" s="161"/>
      <c r="G44" s="271"/>
      <c r="H44" s="598"/>
      <c r="I44" s="212"/>
      <c r="J44" s="147"/>
      <c r="K44" s="213"/>
      <c r="L44" s="212"/>
      <c r="M44" s="559"/>
      <c r="N44" s="531"/>
      <c r="O44" s="531"/>
      <c r="P44" s="559"/>
      <c r="Q44" s="278"/>
      <c r="R44" s="522"/>
      <c r="S44" s="522"/>
      <c r="T44" s="522"/>
      <c r="U44" s="522"/>
      <c r="V44" s="522"/>
      <c r="W44" s="522"/>
      <c r="X44" s="522"/>
      <c r="Y44" s="14">
        <f t="shared" si="1"/>
        <v>0</v>
      </c>
      <c r="AO44" s="11"/>
    </row>
    <row r="45" spans="2:41" x14ac:dyDescent="0.25">
      <c r="B45" s="239" t="s">
        <v>323</v>
      </c>
      <c r="C45" s="224"/>
      <c r="D45" s="161"/>
      <c r="E45" s="161"/>
      <c r="F45" s="161"/>
      <c r="G45" s="271"/>
      <c r="H45" s="599"/>
      <c r="I45" s="254"/>
      <c r="J45" s="262"/>
      <c r="K45" s="214"/>
      <c r="L45" s="214"/>
      <c r="M45" s="562"/>
      <c r="N45" s="563"/>
      <c r="O45" s="562"/>
      <c r="P45" s="548"/>
      <c r="Q45" s="277"/>
      <c r="R45" s="522"/>
      <c r="S45" s="522"/>
      <c r="T45" s="522"/>
      <c r="U45" s="522"/>
      <c r="V45" s="522"/>
      <c r="W45" s="522"/>
      <c r="X45" s="522"/>
      <c r="AO45" s="11"/>
    </row>
    <row r="46" spans="2:41" x14ac:dyDescent="0.25">
      <c r="B46" s="220"/>
      <c r="C46" s="264" t="s">
        <v>484</v>
      </c>
      <c r="D46" s="161" t="str">
        <f>INDEX(Unit_Rates!$C$7:$K$59,MATCH($C46,Unit_Rates!$C$7:$C$59,0),5)</f>
        <v>SCADA/Network control</v>
      </c>
      <c r="E46" s="161" t="str">
        <f>INDEX(Unit_Rates!$C$7:$K$59,MATCH($C46,Unit_Rates!$C$7:$C$59,0),6)</f>
        <v>Augmentation</v>
      </c>
      <c r="F46" s="161" t="str">
        <f t="shared" ref="F46:F52" si="5">D46&amp;E46</f>
        <v>SCADA/Network controlAugmentation</v>
      </c>
      <c r="G46" s="271">
        <f>INDEX(Unit_Rates!$C$7:$K$59,MATCH($C46,Unit_Rates!$C$7:$C$59,0),7)</f>
        <v>58.317856353591161</v>
      </c>
      <c r="H46" s="518">
        <v>2</v>
      </c>
      <c r="I46" s="252" t="s">
        <v>308</v>
      </c>
      <c r="J46" s="147"/>
      <c r="K46" s="213">
        <f t="shared" ref="K46:K52" si="6">G46*H46</f>
        <v>116.63571270718232</v>
      </c>
      <c r="L46" s="213">
        <f t="shared" ref="L46:L52" si="7">SUMPRODUCT(R$5:X$5,R46:X46)/Thousands</f>
        <v>0</v>
      </c>
      <c r="M46" s="534"/>
      <c r="N46" s="739"/>
      <c r="O46" s="741"/>
      <c r="P46" s="740"/>
      <c r="Q46" s="317"/>
      <c r="R46" s="519">
        <v>0</v>
      </c>
      <c r="S46" s="519">
        <v>0</v>
      </c>
      <c r="T46" s="519">
        <v>0</v>
      </c>
      <c r="U46" s="519">
        <v>0</v>
      </c>
      <c r="V46" s="519">
        <v>0</v>
      </c>
      <c r="W46" s="519">
        <v>0</v>
      </c>
      <c r="X46" s="519">
        <v>0</v>
      </c>
      <c r="AO46" s="11"/>
    </row>
    <row r="47" spans="2:41" x14ac:dyDescent="0.25">
      <c r="B47" s="220"/>
      <c r="C47" s="264" t="s">
        <v>335</v>
      </c>
      <c r="D47" s="161" t="str">
        <f>INDEX(Unit_Rates!$C$7:$K$59,MATCH($C47,Unit_Rates!$C$7:$C$59,0),5)</f>
        <v>SCADA/Network control</v>
      </c>
      <c r="E47" s="161" t="str">
        <f>INDEX(Unit_Rates!$C$7:$K$59,MATCH($C47,Unit_Rates!$C$7:$C$59,0),6)</f>
        <v>Augmentation</v>
      </c>
      <c r="F47" s="161" t="str">
        <f t="shared" si="5"/>
        <v>SCADA/Network controlAugmentation</v>
      </c>
      <c r="G47" s="271">
        <f>INDEX(Unit_Rates!$C$7:$K$59,MATCH($C47,Unit_Rates!$C$7:$C$59,0),7)</f>
        <v>5.88950276243094</v>
      </c>
      <c r="H47" s="518">
        <v>2</v>
      </c>
      <c r="I47" s="252" t="s">
        <v>308</v>
      </c>
      <c r="J47" s="147"/>
      <c r="K47" s="213">
        <f t="shared" si="6"/>
        <v>11.77900552486188</v>
      </c>
      <c r="L47" s="213">
        <f t="shared" si="7"/>
        <v>0</v>
      </c>
      <c r="M47" s="534"/>
      <c r="N47" s="739"/>
      <c r="O47" s="741"/>
      <c r="P47" s="740"/>
      <c r="Q47" s="317"/>
      <c r="R47" s="519">
        <v>0</v>
      </c>
      <c r="S47" s="519">
        <v>0</v>
      </c>
      <c r="T47" s="519">
        <v>0</v>
      </c>
      <c r="U47" s="519">
        <v>0</v>
      </c>
      <c r="V47" s="519">
        <v>0</v>
      </c>
      <c r="W47" s="519">
        <v>0</v>
      </c>
      <c r="X47" s="519">
        <v>0</v>
      </c>
      <c r="Y47" s="14">
        <f t="shared" ref="Y47:Y53" si="8">SUM(R47:X47)</f>
        <v>0</v>
      </c>
      <c r="AO47" s="11"/>
    </row>
    <row r="48" spans="2:41" x14ac:dyDescent="0.25">
      <c r="B48" s="220"/>
      <c r="C48" s="264" t="s">
        <v>337</v>
      </c>
      <c r="D48" s="161" t="str">
        <f>INDEX(Unit_Rates!$C$7:$K$59,MATCH($C48,Unit_Rates!$C$7:$C$59,0),5)</f>
        <v>SCADA/Network control</v>
      </c>
      <c r="E48" s="161" t="str">
        <f>INDEX(Unit_Rates!$C$7:$K$59,MATCH($C48,Unit_Rates!$C$7:$C$59,0),6)</f>
        <v>Augmentation</v>
      </c>
      <c r="F48" s="161" t="str">
        <f t="shared" si="5"/>
        <v>SCADA/Network controlAugmentation</v>
      </c>
      <c r="G48" s="271">
        <f>INDEX(Unit_Rates!$C$7:$K$59,MATCH($C48,Unit_Rates!$C$7:$C$59,0),7)</f>
        <v>8.2030957642725593</v>
      </c>
      <c r="H48" s="518"/>
      <c r="I48" s="252" t="s">
        <v>308</v>
      </c>
      <c r="J48" s="147"/>
      <c r="K48" s="213">
        <f t="shared" si="6"/>
        <v>0</v>
      </c>
      <c r="L48" s="213">
        <f t="shared" si="7"/>
        <v>0</v>
      </c>
      <c r="M48" s="534"/>
      <c r="N48" s="739"/>
      <c r="O48" s="741"/>
      <c r="P48" s="740"/>
      <c r="Q48" s="317"/>
      <c r="R48" s="519">
        <v>0</v>
      </c>
      <c r="S48" s="519">
        <v>0</v>
      </c>
      <c r="T48" s="519">
        <v>0</v>
      </c>
      <c r="U48" s="519">
        <v>0</v>
      </c>
      <c r="V48" s="519">
        <v>0</v>
      </c>
      <c r="W48" s="519">
        <v>0</v>
      </c>
      <c r="X48" s="519">
        <v>0</v>
      </c>
      <c r="Y48" s="14">
        <f t="shared" si="8"/>
        <v>0</v>
      </c>
      <c r="AO48" s="11"/>
    </row>
    <row r="49" spans="2:41" x14ac:dyDescent="0.25">
      <c r="B49" s="220"/>
      <c r="C49" s="264" t="s">
        <v>504</v>
      </c>
      <c r="D49" s="161" t="str">
        <f>INDEX(Unit_Rates!$C$7:$K$59,MATCH($C49,Unit_Rates!$C$7:$C$59,0),5)</f>
        <v>SCADA/Network control</v>
      </c>
      <c r="E49" s="161" t="str">
        <f>INDEX(Unit_Rates!$C$7:$K$59,MATCH($C49,Unit_Rates!$C$7:$C$59,0),6)</f>
        <v>Augmentation</v>
      </c>
      <c r="F49" s="161" t="str">
        <f t="shared" si="5"/>
        <v>SCADA/Network controlAugmentation</v>
      </c>
      <c r="G49" s="271">
        <f>INDEX(Unit_Rates!$C$7:$K$59,MATCH($C49,Unit_Rates!$C$7:$C$59,0),7)</f>
        <v>92.456849907918979</v>
      </c>
      <c r="H49" s="518">
        <v>2</v>
      </c>
      <c r="I49" s="252" t="s">
        <v>308</v>
      </c>
      <c r="J49" s="147"/>
      <c r="K49" s="213">
        <f t="shared" si="6"/>
        <v>184.91369981583796</v>
      </c>
      <c r="L49" s="213">
        <f t="shared" si="7"/>
        <v>0</v>
      </c>
      <c r="M49" s="534"/>
      <c r="N49" s="739"/>
      <c r="O49" s="741"/>
      <c r="P49" s="740"/>
      <c r="Q49" s="317"/>
      <c r="R49" s="519">
        <v>0</v>
      </c>
      <c r="S49" s="519">
        <v>0</v>
      </c>
      <c r="T49" s="519">
        <v>0</v>
      </c>
      <c r="U49" s="519">
        <v>0</v>
      </c>
      <c r="V49" s="519">
        <v>0</v>
      </c>
      <c r="W49" s="519">
        <v>0</v>
      </c>
      <c r="X49" s="519">
        <v>0</v>
      </c>
      <c r="Y49" s="14">
        <f t="shared" si="8"/>
        <v>0</v>
      </c>
      <c r="AO49" s="11"/>
    </row>
    <row r="50" spans="2:41" x14ac:dyDescent="0.25">
      <c r="B50" s="220"/>
      <c r="C50" s="224" t="s">
        <v>340</v>
      </c>
      <c r="D50" s="264" t="s">
        <v>22</v>
      </c>
      <c r="E50" s="264" t="s">
        <v>42</v>
      </c>
      <c r="F50" s="161" t="str">
        <f t="shared" si="5"/>
        <v>SCADA/Network controlAugmentation</v>
      </c>
      <c r="G50" s="524">
        <v>174.5192938053097</v>
      </c>
      <c r="H50" s="537">
        <v>1</v>
      </c>
      <c r="I50" s="252" t="s">
        <v>308</v>
      </c>
      <c r="J50" s="147"/>
      <c r="K50" s="213">
        <f t="shared" si="6"/>
        <v>174.5192938053097</v>
      </c>
      <c r="L50" s="213">
        <f t="shared" si="7"/>
        <v>0</v>
      </c>
      <c r="M50" s="534"/>
      <c r="N50" s="739"/>
      <c r="O50" s="741"/>
      <c r="P50" s="740"/>
      <c r="Q50" s="277"/>
      <c r="R50" s="519">
        <v>0</v>
      </c>
      <c r="S50" s="519">
        <v>0</v>
      </c>
      <c r="T50" s="519">
        <v>0</v>
      </c>
      <c r="U50" s="519">
        <v>0</v>
      </c>
      <c r="V50" s="519">
        <v>0</v>
      </c>
      <c r="W50" s="519">
        <v>0</v>
      </c>
      <c r="X50" s="519">
        <v>0</v>
      </c>
      <c r="Y50" s="14">
        <f t="shared" si="8"/>
        <v>0</v>
      </c>
      <c r="AO50" s="11"/>
    </row>
    <row r="51" spans="2:41" x14ac:dyDescent="0.25">
      <c r="B51" s="220"/>
      <c r="C51" s="224" t="s">
        <v>338</v>
      </c>
      <c r="D51" s="264" t="s">
        <v>22</v>
      </c>
      <c r="E51" s="264" t="s">
        <v>42</v>
      </c>
      <c r="F51" s="161" t="str">
        <f t="shared" si="5"/>
        <v>SCADA/Network controlAugmentation</v>
      </c>
      <c r="G51" s="524">
        <v>32.961097345132735</v>
      </c>
      <c r="H51" s="537">
        <v>1</v>
      </c>
      <c r="I51" s="252" t="s">
        <v>308</v>
      </c>
      <c r="J51" s="147"/>
      <c r="K51" s="213">
        <f t="shared" si="6"/>
        <v>32.961097345132735</v>
      </c>
      <c r="L51" s="213">
        <f t="shared" si="7"/>
        <v>0</v>
      </c>
      <c r="M51" s="534"/>
      <c r="N51" s="739"/>
      <c r="O51" s="741"/>
      <c r="P51" s="740"/>
      <c r="Q51" s="277"/>
      <c r="R51" s="519">
        <v>0</v>
      </c>
      <c r="S51" s="519">
        <v>0</v>
      </c>
      <c r="T51" s="519">
        <v>0</v>
      </c>
      <c r="U51" s="519">
        <v>0</v>
      </c>
      <c r="V51" s="519">
        <v>0</v>
      </c>
      <c r="W51" s="519">
        <v>0</v>
      </c>
      <c r="X51" s="519">
        <v>0</v>
      </c>
      <c r="Y51" s="14">
        <f t="shared" si="8"/>
        <v>0</v>
      </c>
      <c r="AO51" s="11"/>
    </row>
    <row r="52" spans="2:41" x14ac:dyDescent="0.25">
      <c r="B52" s="239" t="s">
        <v>297</v>
      </c>
      <c r="C52" s="224"/>
      <c r="D52" s="224" t="s">
        <v>18</v>
      </c>
      <c r="E52" s="224" t="s">
        <v>42</v>
      </c>
      <c r="F52" s="161" t="str">
        <f t="shared" si="5"/>
        <v>SubtransmissionAugmentation</v>
      </c>
      <c r="G52" s="524"/>
      <c r="H52" s="537"/>
      <c r="I52" s="252" t="s">
        <v>308</v>
      </c>
      <c r="J52" s="147"/>
      <c r="K52" s="213">
        <f t="shared" si="6"/>
        <v>0</v>
      </c>
      <c r="L52" s="213">
        <f t="shared" si="7"/>
        <v>0</v>
      </c>
      <c r="M52" s="534"/>
      <c r="N52" s="739"/>
      <c r="O52" s="741"/>
      <c r="P52" s="740"/>
      <c r="Q52" s="277"/>
      <c r="R52" s="519">
        <v>0</v>
      </c>
      <c r="S52" s="519">
        <v>0</v>
      </c>
      <c r="T52" s="519">
        <v>0</v>
      </c>
      <c r="U52" s="519">
        <v>0</v>
      </c>
      <c r="V52" s="519">
        <v>0</v>
      </c>
      <c r="W52" s="519">
        <v>0</v>
      </c>
      <c r="X52" s="519">
        <v>0</v>
      </c>
      <c r="Y52" s="14">
        <f t="shared" si="8"/>
        <v>0</v>
      </c>
      <c r="AO52" s="11"/>
    </row>
    <row r="53" spans="2:41" x14ac:dyDescent="0.25">
      <c r="B53" s="239" t="s">
        <v>328</v>
      </c>
      <c r="C53" s="224"/>
      <c r="D53" s="161"/>
      <c r="E53" s="264"/>
      <c r="F53" s="264"/>
      <c r="G53" s="538"/>
      <c r="H53" s="598"/>
      <c r="I53" s="212"/>
      <c r="J53" s="161"/>
      <c r="K53" s="213"/>
      <c r="L53" s="213"/>
      <c r="M53" s="531"/>
      <c r="N53" s="530"/>
      <c r="O53" s="531"/>
      <c r="P53" s="548"/>
      <c r="Q53" s="277"/>
      <c r="R53" s="522"/>
      <c r="S53" s="522"/>
      <c r="T53" s="522"/>
      <c r="U53" s="522"/>
      <c r="V53" s="522"/>
      <c r="W53" s="522"/>
      <c r="X53" s="522"/>
      <c r="Y53" s="14">
        <f t="shared" si="8"/>
        <v>0</v>
      </c>
      <c r="AO53" s="498"/>
    </row>
    <row r="54" spans="2:41" x14ac:dyDescent="0.25">
      <c r="B54" s="220"/>
      <c r="C54" s="224" t="s">
        <v>341</v>
      </c>
      <c r="D54" s="224" t="s">
        <v>18</v>
      </c>
      <c r="E54" s="264" t="s">
        <v>42</v>
      </c>
      <c r="F54" s="161" t="str">
        <f t="shared" ref="F54:F60" si="9">D54&amp;E54</f>
        <v>SubtransmissionAugmentation</v>
      </c>
      <c r="G54" s="524">
        <v>0</v>
      </c>
      <c r="H54" s="518"/>
      <c r="I54" s="252" t="s">
        <v>308</v>
      </c>
      <c r="J54" s="161"/>
      <c r="K54" s="213">
        <f>G54*H54</f>
        <v>0</v>
      </c>
      <c r="L54" s="213">
        <f>SUMPRODUCT(R$5:X$5,R54:X54)/Thousands</f>
        <v>0</v>
      </c>
      <c r="M54" s="534"/>
      <c r="N54" s="739"/>
      <c r="O54" s="741"/>
      <c r="P54" s="740"/>
      <c r="Q54" s="277"/>
      <c r="R54" s="519">
        <v>0</v>
      </c>
      <c r="S54" s="519">
        <v>0</v>
      </c>
      <c r="T54" s="519">
        <v>0</v>
      </c>
      <c r="U54" s="519">
        <v>0</v>
      </c>
      <c r="V54" s="519">
        <v>0</v>
      </c>
      <c r="W54" s="519">
        <v>0</v>
      </c>
      <c r="X54" s="519">
        <v>0</v>
      </c>
    </row>
    <row r="55" spans="2:41" x14ac:dyDescent="0.25">
      <c r="B55" s="220"/>
      <c r="C55" s="224" t="s">
        <v>332</v>
      </c>
      <c r="D55" s="161" t="str">
        <f>Unit_Rates!G43</f>
        <v>Subtransmission</v>
      </c>
      <c r="E55" s="161" t="str">
        <f>Unit_Rates!H43</f>
        <v>Augmentation</v>
      </c>
      <c r="F55" s="161" t="str">
        <f t="shared" si="9"/>
        <v>SubtransmissionAugmentation</v>
      </c>
      <c r="G55" s="271">
        <f>Unit_Rates!$I$43</f>
        <v>123.95348837209301</v>
      </c>
      <c r="H55" s="518"/>
      <c r="I55" s="252" t="s">
        <v>308</v>
      </c>
      <c r="J55" s="161"/>
      <c r="K55" s="213">
        <f>G55*H55</f>
        <v>0</v>
      </c>
      <c r="L55" s="213">
        <f>SUMPRODUCT(R$5:X$5,R55:X55)/Thousands</f>
        <v>0</v>
      </c>
      <c r="M55" s="534"/>
      <c r="N55" s="739"/>
      <c r="O55" s="739"/>
      <c r="P55" s="740"/>
      <c r="Q55" s="317"/>
      <c r="R55" s="519">
        <v>0</v>
      </c>
      <c r="S55" s="519">
        <v>0</v>
      </c>
      <c r="T55" s="519">
        <v>0</v>
      </c>
      <c r="U55" s="519">
        <v>0</v>
      </c>
      <c r="V55" s="519">
        <v>0</v>
      </c>
      <c r="W55" s="519">
        <v>0</v>
      </c>
      <c r="X55" s="519">
        <v>0</v>
      </c>
      <c r="Y55" s="14">
        <f t="shared" ref="Y55:Y60" si="10">SUM(R55:X55)</f>
        <v>0</v>
      </c>
    </row>
    <row r="56" spans="2:41" x14ac:dyDescent="0.25">
      <c r="B56" s="220"/>
      <c r="C56" s="639" t="s">
        <v>333</v>
      </c>
      <c r="D56" s="161" t="s">
        <v>18</v>
      </c>
      <c r="E56" s="264" t="s">
        <v>42</v>
      </c>
      <c r="F56" s="161" t="str">
        <f t="shared" si="9"/>
        <v>SubtransmissionAugmentation</v>
      </c>
      <c r="G56" s="524">
        <v>2.2669008849557519</v>
      </c>
      <c r="H56" s="518">
        <v>1</v>
      </c>
      <c r="I56" s="252" t="s">
        <v>308</v>
      </c>
      <c r="J56" s="161"/>
      <c r="K56" s="213">
        <f>G56*H56</f>
        <v>2.2669008849557519</v>
      </c>
      <c r="L56" s="213">
        <f>SUMPRODUCT(R$5:X$5,R56:X56)/Thousands</f>
        <v>0</v>
      </c>
      <c r="M56" s="534"/>
      <c r="N56" s="739"/>
      <c r="O56" s="739"/>
      <c r="P56" s="740"/>
      <c r="Q56" s="277"/>
      <c r="R56" s="519">
        <v>0</v>
      </c>
      <c r="S56" s="519">
        <v>0</v>
      </c>
      <c r="T56" s="519">
        <v>0</v>
      </c>
      <c r="U56" s="519">
        <v>0</v>
      </c>
      <c r="V56" s="519">
        <v>0</v>
      </c>
      <c r="W56" s="519">
        <v>0</v>
      </c>
      <c r="X56" s="519">
        <v>0</v>
      </c>
      <c r="Y56" s="14">
        <f t="shared" si="10"/>
        <v>0</v>
      </c>
    </row>
    <row r="57" spans="2:41" x14ac:dyDescent="0.25">
      <c r="B57" s="296" t="s">
        <v>300</v>
      </c>
      <c r="C57" s="639"/>
      <c r="D57" s="161" t="s">
        <v>18</v>
      </c>
      <c r="E57" s="264" t="s">
        <v>42</v>
      </c>
      <c r="F57" s="161" t="str">
        <f t="shared" si="9"/>
        <v>SubtransmissionAugmentation</v>
      </c>
      <c r="G57" s="271">
        <v>13.142930973451325</v>
      </c>
      <c r="H57" s="518">
        <v>1</v>
      </c>
      <c r="I57" s="252" t="s">
        <v>308</v>
      </c>
      <c r="J57" s="161"/>
      <c r="K57" s="213">
        <f>G57*H57</f>
        <v>13.142930973451325</v>
      </c>
      <c r="L57" s="216">
        <f>SUMPRODUCT(R$5:X$5,R57:X57)/Thousands</f>
        <v>0</v>
      </c>
      <c r="M57" s="564"/>
      <c r="N57" s="739"/>
      <c r="O57" s="742"/>
      <c r="P57" s="740"/>
      <c r="Q57" s="277"/>
      <c r="R57" s="519">
        <v>0</v>
      </c>
      <c r="S57" s="519">
        <v>0</v>
      </c>
      <c r="T57" s="519">
        <v>0</v>
      </c>
      <c r="U57" s="519">
        <v>0</v>
      </c>
      <c r="V57" s="519">
        <v>0</v>
      </c>
      <c r="W57" s="519">
        <v>0</v>
      </c>
      <c r="X57" s="519">
        <v>0</v>
      </c>
      <c r="Y57" s="14">
        <f t="shared" si="10"/>
        <v>0</v>
      </c>
    </row>
    <row r="58" spans="2:41" x14ac:dyDescent="0.25">
      <c r="B58" s="239" t="s">
        <v>701</v>
      </c>
      <c r="C58" s="161"/>
      <c r="D58" s="161" t="s">
        <v>211</v>
      </c>
      <c r="E58" s="264" t="s">
        <v>83</v>
      </c>
      <c r="F58" s="161" t="str">
        <f t="shared" si="9"/>
        <v>LandNon-Network</v>
      </c>
      <c r="G58" s="256">
        <v>0</v>
      </c>
      <c r="H58" s="518">
        <v>5</v>
      </c>
      <c r="I58" s="252" t="s">
        <v>308</v>
      </c>
      <c r="J58" s="161"/>
      <c r="K58" s="216">
        <v>0</v>
      </c>
      <c r="L58" s="216">
        <f>SUMPRODUCT(R$5:X$5,R58:X58)/Thousands</f>
        <v>0</v>
      </c>
      <c r="M58" s="564"/>
      <c r="N58" s="739"/>
      <c r="O58" s="742"/>
      <c r="P58" s="740"/>
      <c r="Q58" s="277"/>
      <c r="R58" s="519">
        <v>0</v>
      </c>
      <c r="S58" s="519">
        <v>0</v>
      </c>
      <c r="T58" s="519">
        <v>0</v>
      </c>
      <c r="U58" s="519">
        <v>0</v>
      </c>
      <c r="V58" s="519">
        <v>0</v>
      </c>
      <c r="W58" s="519">
        <v>0</v>
      </c>
      <c r="X58" s="519">
        <v>0</v>
      </c>
      <c r="Y58" s="14">
        <f t="shared" si="10"/>
        <v>0</v>
      </c>
    </row>
    <row r="59" spans="2:41" x14ac:dyDescent="0.25">
      <c r="B59" s="239"/>
      <c r="C59" s="161"/>
      <c r="D59" s="161"/>
      <c r="E59" s="264"/>
      <c r="F59" s="161"/>
      <c r="G59" s="256"/>
      <c r="H59" s="599"/>
      <c r="I59" s="254"/>
      <c r="J59" s="224"/>
      <c r="K59" s="256"/>
      <c r="L59" s="256"/>
      <c r="M59" s="271"/>
      <c r="N59" s="563"/>
      <c r="O59" s="271"/>
      <c r="P59" s="561"/>
      <c r="Q59" s="317"/>
      <c r="R59" s="528"/>
      <c r="S59" s="528"/>
      <c r="T59" s="528"/>
      <c r="U59" s="528"/>
      <c r="V59" s="528"/>
      <c r="W59" s="528"/>
      <c r="X59" s="528"/>
      <c r="Y59" s="14"/>
    </row>
    <row r="60" spans="2:41" x14ac:dyDescent="0.25">
      <c r="B60" s="417" t="s">
        <v>434</v>
      </c>
      <c r="C60" s="394"/>
      <c r="D60" s="224" t="s">
        <v>18</v>
      </c>
      <c r="E60" s="664" t="s">
        <v>42</v>
      </c>
      <c r="F60" s="161" t="str">
        <f t="shared" si="9"/>
        <v>SubtransmissionAugmentation</v>
      </c>
      <c r="G60" s="396">
        <v>0</v>
      </c>
      <c r="H60" s="683"/>
      <c r="I60" s="397" t="s">
        <v>308</v>
      </c>
      <c r="J60" s="395"/>
      <c r="K60" s="398">
        <v>0</v>
      </c>
      <c r="L60" s="398">
        <f>SUMPRODUCT(R$5:X$5,R60:X60)/Thousands</f>
        <v>0</v>
      </c>
      <c r="M60" s="399"/>
      <c r="N60" s="421"/>
      <c r="O60" s="565"/>
      <c r="P60" s="398">
        <f>SUM(K60:O60)</f>
        <v>0</v>
      </c>
      <c r="Q60" s="277"/>
      <c r="R60" s="519">
        <v>0</v>
      </c>
      <c r="S60" s="519">
        <v>0</v>
      </c>
      <c r="T60" s="519">
        <v>0</v>
      </c>
      <c r="U60" s="519">
        <v>0</v>
      </c>
      <c r="V60" s="519">
        <v>0</v>
      </c>
      <c r="W60" s="519">
        <v>0</v>
      </c>
      <c r="X60" s="519">
        <v>0</v>
      </c>
      <c r="Y60" s="14">
        <f t="shared" si="10"/>
        <v>0</v>
      </c>
    </row>
    <row r="61" spans="2:41" x14ac:dyDescent="0.25">
      <c r="B61" s="220"/>
      <c r="C61" s="161"/>
      <c r="D61" s="161"/>
      <c r="E61" s="161"/>
      <c r="F61" s="161"/>
      <c r="G61" s="212"/>
      <c r="H61" s="220"/>
      <c r="I61" s="212"/>
      <c r="J61" s="161"/>
      <c r="K61" s="217"/>
      <c r="L61" s="217"/>
      <c r="M61" s="566"/>
      <c r="N61" s="566"/>
      <c r="O61" s="566"/>
      <c r="P61" s="566"/>
      <c r="X61" s="471"/>
    </row>
    <row r="62" spans="2:41" x14ac:dyDescent="0.25">
      <c r="B62" s="239" t="s">
        <v>298</v>
      </c>
      <c r="C62" s="161"/>
      <c r="D62" s="161"/>
      <c r="E62" s="161"/>
      <c r="F62" s="161"/>
      <c r="G62" s="212"/>
      <c r="H62" s="220"/>
      <c r="I62" s="212"/>
      <c r="J62" s="161"/>
      <c r="K62" s="302">
        <f t="shared" ref="K62:M62" si="11">SUM(K6:K60)</f>
        <v>5504.1825261304766</v>
      </c>
      <c r="L62" s="302">
        <f t="shared" si="11"/>
        <v>1116.6312584194952</v>
      </c>
      <c r="M62" s="567">
        <f t="shared" si="11"/>
        <v>1132.0353982300883</v>
      </c>
      <c r="N62" s="567">
        <v>7625.5055019804349</v>
      </c>
      <c r="O62" s="567">
        <v>112.21713671344054</v>
      </c>
      <c r="P62" s="567">
        <v>15490.571821473932</v>
      </c>
      <c r="Q62" s="606"/>
      <c r="X62" s="471"/>
    </row>
    <row r="63" spans="2:41" x14ac:dyDescent="0.25">
      <c r="B63" s="247" t="s">
        <v>72</v>
      </c>
      <c r="C63" s="248"/>
      <c r="D63" s="248"/>
      <c r="E63" s="248"/>
      <c r="F63" s="248"/>
      <c r="G63" s="255"/>
      <c r="H63" s="247"/>
      <c r="I63" s="255"/>
      <c r="J63" s="248"/>
      <c r="K63" s="303">
        <f>K62-Direct_Capex_Totals!Q6</f>
        <v>0</v>
      </c>
      <c r="L63" s="304">
        <f>L62-Direct_Capex_Totals!R6</f>
        <v>0</v>
      </c>
      <c r="M63" s="304">
        <f>M62-Direct_Capex_Totals!S6</f>
        <v>0</v>
      </c>
      <c r="N63" s="304">
        <f>N62-Direct_Capex_Totals!T6</f>
        <v>0</v>
      </c>
      <c r="O63" s="304">
        <f>O62-Direct_Capex_Totals!U6</f>
        <v>0</v>
      </c>
      <c r="P63" s="305">
        <f>SUM(K63:O63)</f>
        <v>0</v>
      </c>
      <c r="X63" s="471"/>
    </row>
    <row r="64" spans="2:41" ht="30" x14ac:dyDescent="0.25">
      <c r="B64" s="225" t="s">
        <v>278</v>
      </c>
      <c r="C64" s="226"/>
      <c r="D64" s="279"/>
      <c r="E64" s="279"/>
      <c r="F64" s="279"/>
      <c r="G64" s="261" t="s">
        <v>318</v>
      </c>
      <c r="H64" s="260" t="s">
        <v>281</v>
      </c>
      <c r="I64" s="18" t="s">
        <v>309</v>
      </c>
      <c r="J64" s="248"/>
      <c r="K64" s="18" t="s">
        <v>151</v>
      </c>
      <c r="L64" s="18" t="s">
        <v>306</v>
      </c>
      <c r="M64" s="568" t="s">
        <v>152</v>
      </c>
      <c r="N64" s="568" t="s">
        <v>153</v>
      </c>
      <c r="O64" s="364" t="s">
        <v>77</v>
      </c>
      <c r="P64" s="364" t="s">
        <v>307</v>
      </c>
      <c r="X64" s="471"/>
    </row>
    <row r="65" spans="2:35" x14ac:dyDescent="0.25">
      <c r="B65" s="239"/>
      <c r="C65" s="161"/>
      <c r="D65" s="161"/>
      <c r="E65" s="161"/>
      <c r="F65" s="161"/>
      <c r="G65" s="212"/>
      <c r="H65" s="220"/>
      <c r="I65" s="212"/>
      <c r="J65" s="161"/>
      <c r="K65" s="223"/>
      <c r="L65" s="223"/>
      <c r="M65" s="569"/>
      <c r="N65" s="569"/>
      <c r="O65" s="569"/>
      <c r="P65" s="559"/>
      <c r="X65" s="471"/>
    </row>
    <row r="66" spans="2:35" x14ac:dyDescent="0.25">
      <c r="B66" s="239" t="s">
        <v>17</v>
      </c>
      <c r="C66" s="161"/>
      <c r="D66" s="161"/>
      <c r="E66" s="161"/>
      <c r="F66" s="161"/>
      <c r="G66" s="212"/>
      <c r="H66" s="220"/>
      <c r="I66" s="212"/>
      <c r="J66" s="161"/>
      <c r="K66" s="223"/>
      <c r="L66" s="223"/>
      <c r="M66" s="569"/>
      <c r="N66" s="569"/>
      <c r="O66" s="569"/>
      <c r="P66" s="559"/>
      <c r="X66" s="471"/>
      <c r="Y66" s="14"/>
      <c r="AI66" t="s">
        <v>472</v>
      </c>
    </row>
    <row r="67" spans="2:35" x14ac:dyDescent="0.25">
      <c r="B67" s="239"/>
      <c r="C67" s="270" t="s">
        <v>344</v>
      </c>
      <c r="D67" s="270" t="str">
        <f>IF($B$3="WYK2",Unit_Rates!G65,Unit_Rates!G66)</f>
        <v>Distribution system assets</v>
      </c>
      <c r="E67" s="270" t="str">
        <f>IF($B$3="WYK2",Unit_Rates!H65,Unit_Rates!H66)</f>
        <v>Augmentation</v>
      </c>
      <c r="F67" s="161" t="str">
        <f t="shared" ref="F67:F73" si="12">D67&amp;E67</f>
        <v>Distribution system assetsAugmentation</v>
      </c>
      <c r="G67" s="271">
        <v>0</v>
      </c>
      <c r="H67" s="430">
        <f>INDEX(Feeder_Vols!$E$7:$Q$13,MATCH($B$3,Feeder_Vols!$B$7:$B$12,0),MATCH(1,Feeder_Vols!$E$6:$Q$6,0))</f>
        <v>4</v>
      </c>
      <c r="I67" s="212" t="s">
        <v>313</v>
      </c>
      <c r="J67" s="270"/>
      <c r="K67" s="271"/>
      <c r="L67" s="271">
        <f t="shared" ref="L67:L76" si="13">SUMPRODUCT(R$5:X$5,R67:X67)/Thousands</f>
        <v>32.838416461474061</v>
      </c>
      <c r="M67" s="271">
        <f>$H67*IF($B$3="WYK2",Unit_Rates!K65,Unit_Rates!K66)</f>
        <v>72.527665116279067</v>
      </c>
      <c r="N67" s="271">
        <f>$H67*IF($B$3="WYK2",Unit_Rates!L65,Unit_Rates!L66)</f>
        <v>0</v>
      </c>
      <c r="O67" s="271">
        <f>$H67*IF($B$3="WYK2",Unit_Rates!M65,Unit_Rates!M66)</f>
        <v>0</v>
      </c>
      <c r="P67" s="570">
        <f t="shared" ref="P67:P76" si="14">SUM(K67:O67)</f>
        <v>105.36608157775314</v>
      </c>
      <c r="Q67" s="317"/>
      <c r="R67" s="627">
        <f>$AI67*Z67*$H67</f>
        <v>59.210526315789465</v>
      </c>
      <c r="S67" s="627">
        <f t="shared" ref="S67:S76" si="15">$AI67*AA67*$H67</f>
        <v>158.4507042253521</v>
      </c>
      <c r="T67" s="627">
        <f t="shared" ref="T67:T76" si="16">$AI67*AB67*$H67</f>
        <v>0</v>
      </c>
      <c r="U67" s="627">
        <f t="shared" ref="U67:U76" si="17">$AI67*AC67*$H67</f>
        <v>0</v>
      </c>
      <c r="V67" s="627">
        <f t="shared" ref="V67:V76" si="18">$AI67*AD67*$H67</f>
        <v>0</v>
      </c>
      <c r="W67" s="627">
        <f t="shared" ref="W67:W76" si="19">$AI67*AE67*$H67</f>
        <v>0</v>
      </c>
      <c r="X67" s="627">
        <f t="shared" ref="X67:X76" si="20">$AI67*AF67*$H67</f>
        <v>0</v>
      </c>
      <c r="Y67" s="14">
        <f t="shared" ref="Y67:Y76" si="21">SUM(R67:X67)</f>
        <v>217.66123054114155</v>
      </c>
      <c r="Z67" s="15">
        <v>0.27203065134099613</v>
      </c>
      <c r="AA67" s="15">
        <v>0.72796934865900376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6">
        <f t="shared" ref="AG67:AG72" si="22">SUM(Z67:AF67)</f>
        <v>0.99999999999999989</v>
      </c>
      <c r="AH67" t="b">
        <f t="shared" ref="AH67:AH72" si="23">AG67=1</f>
        <v>1</v>
      </c>
      <c r="AI67" s="365">
        <v>54.415307635285394</v>
      </c>
    </row>
    <row r="68" spans="2:35" x14ac:dyDescent="0.25">
      <c r="B68" s="239"/>
      <c r="C68" s="161" t="s">
        <v>247</v>
      </c>
      <c r="D68" s="270" t="str">
        <f>Unit_Rates!G67</f>
        <v>Distribution system assets</v>
      </c>
      <c r="E68" s="270" t="str">
        <f>Unit_Rates!H67</f>
        <v>Augmentation</v>
      </c>
      <c r="F68" s="161" t="str">
        <f t="shared" si="12"/>
        <v>Distribution system assetsAugmentation</v>
      </c>
      <c r="G68" s="742"/>
      <c r="H68" s="430">
        <f>INDEX(Feeder_Vols!$E$7:$Q$13,MATCH($B$3,Feeder_Vols!$B$7:$B$12,0),MATCH(2,Feeder_Vols!$E$6:$Q$6,0))</f>
        <v>0</v>
      </c>
      <c r="I68" s="212" t="s">
        <v>314</v>
      </c>
      <c r="J68" s="270"/>
      <c r="K68" s="742"/>
      <c r="L68" s="742"/>
      <c r="M68" s="742"/>
      <c r="N68" s="742"/>
      <c r="O68" s="742"/>
      <c r="P68" s="742"/>
      <c r="Q68" s="571"/>
      <c r="R68" s="743"/>
      <c r="S68" s="743"/>
      <c r="T68" s="743"/>
      <c r="U68" s="743"/>
      <c r="V68" s="743"/>
      <c r="W68" s="743"/>
      <c r="X68" s="743"/>
      <c r="Y68" s="744">
        <f t="shared" si="21"/>
        <v>0</v>
      </c>
      <c r="Z68" s="15">
        <v>0</v>
      </c>
      <c r="AA68" s="15">
        <v>0.14071351127025331</v>
      </c>
      <c r="AB68" s="15">
        <v>0.24322448098123187</v>
      </c>
      <c r="AC68" s="15">
        <v>0</v>
      </c>
      <c r="AD68" s="15">
        <v>0.1760177164995757</v>
      </c>
      <c r="AE68" s="15">
        <v>0.44004429124893918</v>
      </c>
      <c r="AF68" s="15">
        <v>0</v>
      </c>
      <c r="AG68" s="16">
        <f t="shared" si="22"/>
        <v>1</v>
      </c>
      <c r="AH68" t="b">
        <f t="shared" si="23"/>
        <v>1</v>
      </c>
      <c r="AI68" s="792"/>
    </row>
    <row r="69" spans="2:35" x14ac:dyDescent="0.25">
      <c r="B69" s="239"/>
      <c r="C69" s="161" t="s">
        <v>251</v>
      </c>
      <c r="D69" s="270" t="str">
        <f>Unit_Rates!G68</f>
        <v>Distribution system assets</v>
      </c>
      <c r="E69" s="270" t="str">
        <f>Unit_Rates!H68</f>
        <v>Augmentation</v>
      </c>
      <c r="F69" s="161" t="str">
        <f t="shared" si="12"/>
        <v>Distribution system assetsAugmentation</v>
      </c>
      <c r="G69" s="742"/>
      <c r="H69" s="430">
        <f>INDEX(Feeder_Vols!$E$7:$Q$13,MATCH($B$3,Feeder_Vols!$B$7:$B$12,0),MATCH(3,Feeder_Vols!$E$6:$Q$6,0))</f>
        <v>0</v>
      </c>
      <c r="I69" s="212" t="s">
        <v>310</v>
      </c>
      <c r="J69" s="270"/>
      <c r="K69" s="742"/>
      <c r="L69" s="742"/>
      <c r="M69" s="742"/>
      <c r="N69" s="742"/>
      <c r="O69" s="742"/>
      <c r="P69" s="742"/>
      <c r="Q69" s="571"/>
      <c r="R69" s="743"/>
      <c r="S69" s="743"/>
      <c r="T69" s="743"/>
      <c r="U69" s="743"/>
      <c r="V69" s="743"/>
      <c r="W69" s="743"/>
      <c r="X69" s="743"/>
      <c r="Y69" s="744">
        <f t="shared" si="21"/>
        <v>0</v>
      </c>
      <c r="Z69" s="15">
        <v>0</v>
      </c>
      <c r="AA69" s="15">
        <v>0.11317869701862385</v>
      </c>
      <c r="AB69" s="15">
        <v>0.25101832039696309</v>
      </c>
      <c r="AC69" s="15">
        <v>0</v>
      </c>
      <c r="AD69" s="15">
        <v>0.18165799502411806</v>
      </c>
      <c r="AE69" s="15">
        <v>0.45414498756029509</v>
      </c>
      <c r="AF69" s="15">
        <v>0</v>
      </c>
      <c r="AG69" s="16">
        <f t="shared" si="22"/>
        <v>1</v>
      </c>
      <c r="AH69" t="b">
        <f t="shared" si="23"/>
        <v>1</v>
      </c>
      <c r="AI69" s="792"/>
    </row>
    <row r="70" spans="2:35" x14ac:dyDescent="0.25">
      <c r="B70" s="239"/>
      <c r="C70" s="161" t="s">
        <v>253</v>
      </c>
      <c r="D70" s="270" t="str">
        <f>Unit_Rates!G69</f>
        <v>Distribution system assets</v>
      </c>
      <c r="E70" s="270" t="str">
        <f>Unit_Rates!H69</f>
        <v>Augmentation</v>
      </c>
      <c r="F70" s="161" t="str">
        <f t="shared" si="12"/>
        <v>Distribution system assetsAugmentation</v>
      </c>
      <c r="G70" s="742"/>
      <c r="H70" s="430">
        <f>INDEX(Feeder_Vols!$E$7:$Q$13,MATCH($B$3,Feeder_Vols!$B$7:$B$12,0),MATCH(4,Feeder_Vols!$E$6:$Q$6,0))</f>
        <v>24</v>
      </c>
      <c r="I70" s="253" t="s">
        <v>315</v>
      </c>
      <c r="J70" s="270"/>
      <c r="K70" s="742"/>
      <c r="L70" s="742"/>
      <c r="M70" s="742"/>
      <c r="N70" s="742"/>
      <c r="O70" s="742"/>
      <c r="P70" s="742"/>
      <c r="Q70" s="571"/>
      <c r="R70" s="743"/>
      <c r="S70" s="743"/>
      <c r="T70" s="743"/>
      <c r="U70" s="743"/>
      <c r="V70" s="743"/>
      <c r="W70" s="743"/>
      <c r="X70" s="743"/>
      <c r="Y70" s="744">
        <f t="shared" si="21"/>
        <v>0</v>
      </c>
      <c r="Z70" s="15">
        <v>0</v>
      </c>
      <c r="AA70" s="15">
        <v>0.17737095137749856</v>
      </c>
      <c r="AB70" s="15">
        <v>0.23284844579258887</v>
      </c>
      <c r="AC70" s="15">
        <v>0</v>
      </c>
      <c r="AD70" s="15">
        <v>0.16850874366568935</v>
      </c>
      <c r="AE70" s="15">
        <v>0.42127185916422333</v>
      </c>
      <c r="AF70" s="15">
        <v>0</v>
      </c>
      <c r="AG70" s="16">
        <f t="shared" si="22"/>
        <v>1</v>
      </c>
      <c r="AH70" t="b">
        <f t="shared" si="23"/>
        <v>1</v>
      </c>
      <c r="AI70" s="792"/>
    </row>
    <row r="71" spans="2:35" x14ac:dyDescent="0.25">
      <c r="B71" s="239"/>
      <c r="C71" s="161" t="s">
        <v>249</v>
      </c>
      <c r="D71" s="270" t="str">
        <f>Unit_Rates!G70</f>
        <v>Distribution system assets</v>
      </c>
      <c r="E71" s="270" t="str">
        <f>Unit_Rates!H70</f>
        <v>Augmentation</v>
      </c>
      <c r="F71" s="161" t="str">
        <f t="shared" si="12"/>
        <v>Distribution system assetsAugmentation</v>
      </c>
      <c r="G71" s="271">
        <f>Unit_Rates!I70</f>
        <v>17.106573023255812</v>
      </c>
      <c r="H71" s="430">
        <f>INDEX(Feeder_Vols!$E$7:$Q$13,MATCH($B$3,Feeder_Vols!$B$7:$B$12,0),MATCH(5,Feeder_Vols!$E$6:$Q$6,0))</f>
        <v>15</v>
      </c>
      <c r="I71" s="253" t="s">
        <v>316</v>
      </c>
      <c r="J71" s="270"/>
      <c r="K71" s="271">
        <f t="shared" ref="K71:K76" si="24">G71*H71</f>
        <v>256.59859534883719</v>
      </c>
      <c r="L71" s="271">
        <f t="shared" si="13"/>
        <v>48.922801013681209</v>
      </c>
      <c r="M71" s="271">
        <f>$H71*Unit_Rates!K70</f>
        <v>0</v>
      </c>
      <c r="N71" s="271">
        <f>$H71*Unit_Rates!L70</f>
        <v>453.05748028205988</v>
      </c>
      <c r="O71" s="271">
        <f>$H71*Unit_Rates!M70</f>
        <v>57.451511300123101</v>
      </c>
      <c r="P71" s="570">
        <f t="shared" si="14"/>
        <v>816.03038794470137</v>
      </c>
      <c r="Q71" s="571">
        <f>P71-H71*Unit_Rates!$E$70</f>
        <v>1.1790677486596906</v>
      </c>
      <c r="R71" s="627">
        <f t="shared" ref="R71:R76" si="25">$AI71*Z71*$H71</f>
        <v>0</v>
      </c>
      <c r="S71" s="627">
        <f t="shared" si="15"/>
        <v>20.999999999999996</v>
      </c>
      <c r="T71" s="627">
        <f t="shared" si="16"/>
        <v>79.903314446355282</v>
      </c>
      <c r="U71" s="627">
        <f t="shared" si="17"/>
        <v>0</v>
      </c>
      <c r="V71" s="627">
        <f t="shared" si="18"/>
        <v>57.824767033546593</v>
      </c>
      <c r="W71" s="627">
        <f t="shared" si="19"/>
        <v>144.56191758386646</v>
      </c>
      <c r="X71" s="627">
        <f t="shared" si="20"/>
        <v>0</v>
      </c>
      <c r="Y71" s="14">
        <f t="shared" si="21"/>
        <v>303.28999906376833</v>
      </c>
      <c r="Z71" s="15">
        <v>0</v>
      </c>
      <c r="AA71" s="15">
        <v>6.9240660967474346E-2</v>
      </c>
      <c r="AB71" s="15">
        <v>0.26345515741702774</v>
      </c>
      <c r="AC71" s="15">
        <v>0</v>
      </c>
      <c r="AD71" s="15">
        <v>0.19065833760442799</v>
      </c>
      <c r="AE71" s="15">
        <v>0.47664584401106991</v>
      </c>
      <c r="AF71" s="15">
        <v>0</v>
      </c>
      <c r="AG71" s="16">
        <f t="shared" si="22"/>
        <v>1</v>
      </c>
      <c r="AH71" t="b">
        <f t="shared" si="23"/>
        <v>1</v>
      </c>
      <c r="AI71" s="5">
        <v>20.21933327091789</v>
      </c>
    </row>
    <row r="72" spans="2:35" x14ac:dyDescent="0.25">
      <c r="B72" s="239"/>
      <c r="C72" s="270" t="s">
        <v>356</v>
      </c>
      <c r="D72" s="270" t="str">
        <f>Unit_Rates!G71</f>
        <v>Distribution system assets</v>
      </c>
      <c r="E72" s="270" t="str">
        <f>Unit_Rates!H71</f>
        <v>Augmentation</v>
      </c>
      <c r="F72" s="161" t="str">
        <f t="shared" si="12"/>
        <v>Distribution system assetsAugmentation</v>
      </c>
      <c r="G72" s="271">
        <f>Unit_Rates!I71</f>
        <v>0</v>
      </c>
      <c r="H72" s="430">
        <f>INDEX(Feeder_Vols!$E$7:$Q$13,MATCH($B$3,Feeder_Vols!$B$7:$B$12,0),MATCH(1,Feeder_Vols!$E$6:$Q$6,0))</f>
        <v>4</v>
      </c>
      <c r="I72" s="212" t="s">
        <v>313</v>
      </c>
      <c r="J72" s="270"/>
      <c r="K72" s="271">
        <f t="shared" si="24"/>
        <v>0</v>
      </c>
      <c r="L72" s="271">
        <f t="shared" si="13"/>
        <v>24.184782608695677</v>
      </c>
      <c r="M72" s="271">
        <f>$H72*Unit_Rates!K71</f>
        <v>0</v>
      </c>
      <c r="N72" s="271">
        <f>$H72*Unit_Rates!L71</f>
        <v>31.12849342770474</v>
      </c>
      <c r="O72" s="271">
        <f>$H72*Unit_Rates!M71</f>
        <v>0</v>
      </c>
      <c r="P72" s="570">
        <f t="shared" si="14"/>
        <v>55.313276036400417</v>
      </c>
      <c r="Q72" s="571">
        <f>P72-H72*Unit_Rates!$E$71</f>
        <v>-6.6986855409474799E-2</v>
      </c>
      <c r="R72" s="627">
        <f t="shared" si="25"/>
        <v>0</v>
      </c>
      <c r="S72" s="627">
        <f t="shared" si="15"/>
        <v>0</v>
      </c>
      <c r="T72" s="627">
        <f t="shared" si="16"/>
        <v>0</v>
      </c>
      <c r="U72" s="627">
        <f t="shared" si="17"/>
        <v>0</v>
      </c>
      <c r="V72" s="627">
        <f t="shared" si="18"/>
        <v>0</v>
      </c>
      <c r="W72" s="627">
        <f t="shared" si="19"/>
        <v>0</v>
      </c>
      <c r="X72" s="627">
        <f t="shared" si="20"/>
        <v>185.59254294559051</v>
      </c>
      <c r="Y72" s="14">
        <f t="shared" si="21"/>
        <v>185.59254294559051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 t="shared" si="22"/>
        <v>1</v>
      </c>
      <c r="AH72" t="b">
        <f t="shared" si="23"/>
        <v>1</v>
      </c>
      <c r="AI72" s="5">
        <v>46.398135736397627</v>
      </c>
    </row>
    <row r="73" spans="2:35" x14ac:dyDescent="0.25">
      <c r="B73" s="239"/>
      <c r="C73" s="326" t="s">
        <v>354</v>
      </c>
      <c r="D73" s="270" t="str">
        <f>Unit_Rates!G72</f>
        <v>Distribution system assets</v>
      </c>
      <c r="E73" s="270" t="str">
        <f>Unit_Rates!H72</f>
        <v>Replacement</v>
      </c>
      <c r="F73" s="161" t="str">
        <f t="shared" si="12"/>
        <v>Distribution system assetsReplacement</v>
      </c>
      <c r="G73" s="271">
        <f>Unit_Rates!I72</f>
        <v>0</v>
      </c>
      <c r="H73" s="430">
        <f>INDEX(Feeder_Vols!$E$7:$Q$13,MATCH($B$3,Feeder_Vols!$B$7:$B$12,0),MATCH(1,Feeder_Vols!$E$6:$N$6,0))+INDEX(Feeder_Vols!$E$7:$N$13,MATCH($B$3,Feeder_Vols!$B$7:$B$12,0),MATCH(6,Feeder_Vols!$E$6:$Q$6,0))</f>
        <v>11</v>
      </c>
      <c r="I73" s="212" t="s">
        <v>358</v>
      </c>
      <c r="J73" s="270"/>
      <c r="K73" s="271">
        <f t="shared" si="24"/>
        <v>0</v>
      </c>
      <c r="L73" s="271">
        <f t="shared" si="13"/>
        <v>0</v>
      </c>
      <c r="M73" s="271">
        <f>$H73*Unit_Rates!K72</f>
        <v>0</v>
      </c>
      <c r="N73" s="271">
        <f>$H73*Unit_Rates!L72</f>
        <v>5.7266511627906969</v>
      </c>
      <c r="O73" s="271">
        <f>$H73*Unit_Rates!M72</f>
        <v>0</v>
      </c>
      <c r="P73" s="570">
        <f t="shared" si="14"/>
        <v>5.7266511627906969</v>
      </c>
      <c r="Q73" s="278">
        <f>P73-H73*Unit_Rates!$E72</f>
        <v>0</v>
      </c>
      <c r="R73" s="520"/>
      <c r="S73" s="520"/>
      <c r="T73" s="520"/>
      <c r="U73" s="520"/>
      <c r="V73" s="520"/>
      <c r="W73" s="520"/>
      <c r="X73" s="520"/>
      <c r="Y73" s="14">
        <f t="shared" si="21"/>
        <v>0</v>
      </c>
      <c r="Z73" s="15"/>
      <c r="AA73" s="15"/>
      <c r="AB73" s="15"/>
      <c r="AC73" s="15"/>
      <c r="AD73" s="15"/>
      <c r="AE73" s="15"/>
      <c r="AF73" s="15"/>
      <c r="AI73" s="5">
        <v>0</v>
      </c>
    </row>
    <row r="74" spans="2:35" x14ac:dyDescent="0.25">
      <c r="B74" s="239"/>
      <c r="C74" s="326" t="s">
        <v>689</v>
      </c>
      <c r="D74" s="270" t="str">
        <f>Unit_Rates!G73</f>
        <v>Distribution system assets</v>
      </c>
      <c r="E74" s="270" t="str">
        <f>Unit_Rates!H73</f>
        <v>Replacement</v>
      </c>
      <c r="F74" s="161" t="str">
        <f>D74&amp;E74</f>
        <v>Distribution system assetsReplacement</v>
      </c>
      <c r="G74" s="271">
        <f>Unit_Rates!I73</f>
        <v>0</v>
      </c>
      <c r="H74" s="430">
        <f>INDEX(Feeder_Vols!$E$7:$Q$13,MATCH($B$3,Feeder_Vols!$B$7:$B$12,0),MATCH(7,Feeder_Vols!$E$6:$Q$6,0))</f>
        <v>2</v>
      </c>
      <c r="I74" s="212" t="s">
        <v>355</v>
      </c>
      <c r="J74" s="270"/>
      <c r="K74" s="271">
        <f t="shared" si="24"/>
        <v>0</v>
      </c>
      <c r="L74" s="271">
        <f>SUMPRODUCT(R$5:X$5,R74:X74)/Thousands</f>
        <v>0.31454421897963658</v>
      </c>
      <c r="M74" s="271">
        <f>$H74*Unit_Rates!K73</f>
        <v>0</v>
      </c>
      <c r="N74" s="271">
        <f>$H74*Unit_Rates!L73</f>
        <v>5.8413428465116262</v>
      </c>
      <c r="O74" s="271">
        <f>$H74*Unit_Rates!M73</f>
        <v>0</v>
      </c>
      <c r="P74" s="570">
        <f>SUM(K74:O74)</f>
        <v>6.155887065491263</v>
      </c>
      <c r="Q74" s="571">
        <f>P74-H74*Unit_Rates!$E73</f>
        <v>1.5346143598722328E-2</v>
      </c>
      <c r="R74" s="627">
        <f t="shared" ref="R74:X75" si="26">$AI74*Z74*$H74</f>
        <v>0</v>
      </c>
      <c r="S74" s="627">
        <f t="shared" si="26"/>
        <v>0</v>
      </c>
      <c r="T74" s="627">
        <f t="shared" si="26"/>
        <v>0</v>
      </c>
      <c r="U74" s="627">
        <f t="shared" si="26"/>
        <v>0</v>
      </c>
      <c r="V74" s="627">
        <f t="shared" si="26"/>
        <v>0</v>
      </c>
      <c r="W74" s="627">
        <f t="shared" si="26"/>
        <v>0</v>
      </c>
      <c r="X74" s="627">
        <f t="shared" si="26"/>
        <v>2.4137931034482758</v>
      </c>
      <c r="Y74" s="14">
        <f>SUM(R74:X74)</f>
        <v>2.4137931034482758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1</v>
      </c>
      <c r="AG74" s="16">
        <f>SUM(Z74:AF74)</f>
        <v>1</v>
      </c>
      <c r="AH74" t="b">
        <f>AG74=1</f>
        <v>1</v>
      </c>
      <c r="AI74" s="5">
        <v>1.2068965517241379</v>
      </c>
    </row>
    <row r="75" spans="2:35" x14ac:dyDescent="0.25">
      <c r="B75" s="239"/>
      <c r="C75" s="326" t="s">
        <v>699</v>
      </c>
      <c r="D75" s="270" t="str">
        <f>Unit_Rates!G74</f>
        <v>Distribution system assets</v>
      </c>
      <c r="E75" s="270" t="str">
        <f>Unit_Rates!H74</f>
        <v>Augmentation</v>
      </c>
      <c r="F75" s="161" t="str">
        <f>D75&amp;E75</f>
        <v>Distribution system assetsAugmentation</v>
      </c>
      <c r="G75" s="271">
        <f>Unit_Rates!I74</f>
        <v>11.725162831858405</v>
      </c>
      <c r="H75" s="430">
        <f>INDEX(Feeder_Vols!$E$7:$Q$13,MATCH($B$3,Feeder_Vols!$B$7:$B$12,0),MATCH(8,Feeder_Vols!$E$6:$Q$6,0))</f>
        <v>9</v>
      </c>
      <c r="I75" s="212" t="s">
        <v>698</v>
      </c>
      <c r="J75" s="270"/>
      <c r="K75" s="271">
        <f t="shared" si="24"/>
        <v>105.52646548672564</v>
      </c>
      <c r="L75" s="271">
        <f>SUMPRODUCT(R$5:X$5,R75:X75)/Thousands</f>
        <v>27</v>
      </c>
      <c r="M75" s="271">
        <f>$H75*Unit_Rates!K74</f>
        <v>13.5</v>
      </c>
      <c r="N75" s="271">
        <f>$H75*Unit_Rates!L74</f>
        <v>180</v>
      </c>
      <c r="O75" s="271">
        <f>$H75*Unit_Rates!M74</f>
        <v>0</v>
      </c>
      <c r="P75" s="570">
        <f>SUM(K75:O75)</f>
        <v>326.02646548672567</v>
      </c>
      <c r="Q75" s="278">
        <f>P75-H75*Unit_Rates!$E74</f>
        <v>0</v>
      </c>
      <c r="R75" s="627">
        <f t="shared" si="26"/>
        <v>0</v>
      </c>
      <c r="S75" s="627">
        <f t="shared" si="26"/>
        <v>0</v>
      </c>
      <c r="T75" s="627">
        <f t="shared" si="26"/>
        <v>0</v>
      </c>
      <c r="U75" s="627">
        <f t="shared" si="26"/>
        <v>0</v>
      </c>
      <c r="V75" s="627">
        <f t="shared" si="26"/>
        <v>0</v>
      </c>
      <c r="W75" s="627">
        <f t="shared" si="26"/>
        <v>0</v>
      </c>
      <c r="X75" s="627">
        <f t="shared" si="26"/>
        <v>207.19634906824555</v>
      </c>
      <c r="Y75" s="14">
        <f>SUM(R75:X75)</f>
        <v>207.19634906824555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1</v>
      </c>
      <c r="AG75" s="16">
        <f>SUM(Z75:AF75)</f>
        <v>1</v>
      </c>
      <c r="AH75" t="b">
        <f>AG75=1</f>
        <v>1</v>
      </c>
      <c r="AI75" s="5">
        <v>23.021816563138394</v>
      </c>
    </row>
    <row r="76" spans="2:35" x14ac:dyDescent="0.25">
      <c r="B76" s="239"/>
      <c r="C76" s="326" t="s">
        <v>692</v>
      </c>
      <c r="D76" s="270" t="str">
        <f>Unit_Rates!G75</f>
        <v>Distribution system assets</v>
      </c>
      <c r="E76" s="270" t="str">
        <f>Unit_Rates!H75</f>
        <v>Augmentation</v>
      </c>
      <c r="F76" s="161" t="str">
        <f>D76&amp;E76</f>
        <v>Distribution system assetsAugmentation</v>
      </c>
      <c r="G76" s="271">
        <f>Unit_Rates!I75</f>
        <v>21.323700104130506</v>
      </c>
      <c r="H76" s="430">
        <f>INDEX(Feeder_Vols!$E$7:$Q$13,MATCH($B$3,Feeder_Vols!$B$7:$B$12,0),MATCH(9,Feeder_Vols!$E$6:$Q$6,0))</f>
        <v>0</v>
      </c>
      <c r="I76" s="212" t="s">
        <v>691</v>
      </c>
      <c r="J76" s="270"/>
      <c r="K76" s="321">
        <f t="shared" si="24"/>
        <v>0</v>
      </c>
      <c r="L76" s="321">
        <f t="shared" si="13"/>
        <v>0</v>
      </c>
      <c r="M76" s="321">
        <f>$H76*Unit_Rates!K75</f>
        <v>0</v>
      </c>
      <c r="N76" s="321">
        <f>$H76*Unit_Rates!L75</f>
        <v>0</v>
      </c>
      <c r="O76" s="321">
        <f>$H76*Unit_Rates!M75</f>
        <v>0</v>
      </c>
      <c r="P76" s="566">
        <f t="shared" si="14"/>
        <v>0</v>
      </c>
      <c r="Q76" s="278">
        <f>P76-H76*Unit_Rates!$E75</f>
        <v>0</v>
      </c>
      <c r="R76" s="627">
        <f t="shared" si="25"/>
        <v>0</v>
      </c>
      <c r="S76" s="627">
        <f t="shared" si="15"/>
        <v>0</v>
      </c>
      <c r="T76" s="627">
        <f t="shared" si="16"/>
        <v>0</v>
      </c>
      <c r="U76" s="627">
        <f t="shared" si="17"/>
        <v>0</v>
      </c>
      <c r="V76" s="627">
        <f t="shared" si="18"/>
        <v>0</v>
      </c>
      <c r="W76" s="627">
        <f t="shared" si="19"/>
        <v>0</v>
      </c>
      <c r="X76" s="627">
        <f t="shared" si="20"/>
        <v>0</v>
      </c>
      <c r="Y76" s="14">
        <f t="shared" si="21"/>
        <v>0</v>
      </c>
      <c r="Z76" s="15">
        <v>0.30314923274650013</v>
      </c>
      <c r="AA76" s="15">
        <v>0.32449777026385929</v>
      </c>
      <c r="AB76" s="15">
        <v>0.37235299698964064</v>
      </c>
      <c r="AC76" s="15">
        <v>0</v>
      </c>
      <c r="AD76" s="15">
        <v>0</v>
      </c>
      <c r="AE76" s="15">
        <v>0</v>
      </c>
      <c r="AF76" s="15">
        <v>0</v>
      </c>
      <c r="AG76" s="16">
        <f>SUM(Z76:AF76)</f>
        <v>1</v>
      </c>
      <c r="AH76" t="b">
        <f>AG76=1</f>
        <v>1</v>
      </c>
      <c r="AI76" s="5">
        <v>42.965971070585908</v>
      </c>
    </row>
    <row r="77" spans="2:35" x14ac:dyDescent="0.25">
      <c r="B77" s="239"/>
      <c r="C77" s="224" t="s">
        <v>317</v>
      </c>
      <c r="D77" s="224"/>
      <c r="E77" s="224"/>
      <c r="F77" s="224"/>
      <c r="G77" s="256"/>
      <c r="H77" s="219"/>
      <c r="I77" s="212"/>
      <c r="J77" s="161"/>
      <c r="K77" s="256">
        <v>362.12506083556286</v>
      </c>
      <c r="L77" s="256">
        <v>142.11791388852555</v>
      </c>
      <c r="M77" s="271">
        <v>98.136463072131306</v>
      </c>
      <c r="N77" s="271">
        <v>774.10907042712165</v>
      </c>
      <c r="O77" s="271">
        <v>57.451511300123101</v>
      </c>
      <c r="P77" s="271">
        <v>1433.9400195234643</v>
      </c>
      <c r="Q77" s="278"/>
      <c r="R77" s="522"/>
      <c r="S77" s="522"/>
      <c r="T77" s="522"/>
      <c r="U77" s="522"/>
      <c r="V77" s="522"/>
      <c r="W77" s="522"/>
      <c r="X77" s="522"/>
      <c r="AI77" s="5"/>
    </row>
    <row r="78" spans="2:35" x14ac:dyDescent="0.25">
      <c r="B78" s="239" t="s">
        <v>311</v>
      </c>
      <c r="C78" s="161"/>
      <c r="D78" s="161"/>
      <c r="E78" s="161"/>
      <c r="F78" s="161"/>
      <c r="G78" s="216"/>
      <c r="H78" s="219"/>
      <c r="I78" s="212"/>
      <c r="J78" s="161"/>
      <c r="K78" s="256"/>
      <c r="L78" s="256"/>
      <c r="M78" s="271"/>
      <c r="N78" s="271"/>
      <c r="O78" s="271"/>
      <c r="P78" s="570"/>
      <c r="R78" s="522"/>
      <c r="S78" s="522"/>
      <c r="T78" s="522"/>
      <c r="U78" s="522"/>
      <c r="V78" s="522"/>
      <c r="W78" s="522"/>
      <c r="X78" s="522"/>
      <c r="Y78" s="14"/>
      <c r="AI78" s="5"/>
    </row>
    <row r="79" spans="2:35" x14ac:dyDescent="0.25">
      <c r="B79" s="239"/>
      <c r="C79" s="161" t="s">
        <v>280</v>
      </c>
      <c r="D79" s="161" t="str">
        <f>Unit_Rates!G83</f>
        <v>Distribution system assets</v>
      </c>
      <c r="E79" s="161" t="str">
        <f>Unit_Rates!H83</f>
        <v>Replacement</v>
      </c>
      <c r="F79" s="161" t="str">
        <f>D79&amp;E79</f>
        <v>Distribution system assetsReplacement</v>
      </c>
      <c r="G79" s="216">
        <f>Unit_Rates!I83</f>
        <v>0.30495261811294533</v>
      </c>
      <c r="H79" s="431">
        <f>INDEX(Feeder_Vols!$B$18:$D$23,MATCH($B$3,Feeder_Vols!$B$18:$B$23,0),3)</f>
        <v>201</v>
      </c>
      <c r="I79" s="254" t="s">
        <v>308</v>
      </c>
      <c r="J79" s="161"/>
      <c r="K79" s="256">
        <f>G79*H79</f>
        <v>61.295476240702008</v>
      </c>
      <c r="L79" s="256">
        <f>SUMPRODUCT(R$5:X$5,R79:X79)/Thousands</f>
        <v>31.352314129499412</v>
      </c>
      <c r="M79" s="271">
        <f>$H79*Unit_Rates!K83</f>
        <v>0</v>
      </c>
      <c r="N79" s="271">
        <f>$H79*Unit_Rates!L83</f>
        <v>117.43481475205637</v>
      </c>
      <c r="O79" s="271">
        <f>$H79*Unit_Rates!M83</f>
        <v>0</v>
      </c>
      <c r="P79" s="570">
        <f>SUM(K79:O79)</f>
        <v>210.0826051222578</v>
      </c>
      <c r="Q79" s="277">
        <f>P79-H79*Unit_Rates!$E$83</f>
        <v>0.6653454491249704</v>
      </c>
      <c r="R79" s="627">
        <f t="shared" ref="R79:X79" si="27">$AI79*Z79*$H79</f>
        <v>5.5849920387773579</v>
      </c>
      <c r="S79" s="627">
        <f t="shared" si="27"/>
        <v>0</v>
      </c>
      <c r="T79" s="627">
        <f t="shared" si="27"/>
        <v>69.716822789687143</v>
      </c>
      <c r="U79" s="627">
        <f t="shared" si="27"/>
        <v>0</v>
      </c>
      <c r="V79" s="627">
        <f t="shared" si="27"/>
        <v>0</v>
      </c>
      <c r="W79" s="627">
        <f t="shared" si="27"/>
        <v>0</v>
      </c>
      <c r="X79" s="627">
        <f t="shared" si="27"/>
        <v>141.77818517153554</v>
      </c>
      <c r="Y79" s="14">
        <f>SUM(R79:X79)</f>
        <v>217.08000000000004</v>
      </c>
      <c r="Z79" s="15">
        <v>2.5727805595989302E-2</v>
      </c>
      <c r="AA79" s="15">
        <v>0</v>
      </c>
      <c r="AB79" s="15">
        <v>0.32115728206047139</v>
      </c>
      <c r="AC79" s="15">
        <v>0</v>
      </c>
      <c r="AD79" s="15">
        <v>0</v>
      </c>
      <c r="AE79" s="15">
        <v>0</v>
      </c>
      <c r="AF79" s="15">
        <v>0.65311491234353936</v>
      </c>
      <c r="AG79" s="16">
        <f>SUM(Z79:AF79)</f>
        <v>1</v>
      </c>
      <c r="AH79" t="b">
        <f>AG79=1</f>
        <v>1</v>
      </c>
      <c r="AI79" s="5">
        <v>1.08</v>
      </c>
    </row>
    <row r="80" spans="2:35" x14ac:dyDescent="0.25">
      <c r="B80" s="239"/>
      <c r="C80" s="161" t="s">
        <v>495</v>
      </c>
      <c r="D80" s="161" t="str">
        <f>Unit_Rates!G84</f>
        <v>Distribution system assets</v>
      </c>
      <c r="E80" s="161" t="str">
        <f>Unit_Rates!H84</f>
        <v>Replacement</v>
      </c>
      <c r="F80" s="161" t="str">
        <f>D80&amp;E80</f>
        <v>Distribution system assetsReplacement</v>
      </c>
      <c r="G80" s="256">
        <f>INDEX(Unit_Rates!$C$82:$K$87,MATCH($C80,Unit_Rates!$D$82:$D$87,0),7)</f>
        <v>0</v>
      </c>
      <c r="H80" s="431">
        <f>INDEX(Feeder_Vols!$H$18:$H$23,MATCH($B$3,Feeder_Vols!$G$18:$G$23,0),1)</f>
        <v>6</v>
      </c>
      <c r="I80" s="254" t="s">
        <v>308</v>
      </c>
      <c r="J80" s="161"/>
      <c r="K80" s="256">
        <f>G80*H80</f>
        <v>0</v>
      </c>
      <c r="L80" s="256">
        <f>SUMPRODUCT(R$5:X$5,R80:X80)/Thousands</f>
        <v>1.7572212065813544</v>
      </c>
      <c r="M80" s="271">
        <f>$H80*Unit_Rates!K86</f>
        <v>0</v>
      </c>
      <c r="N80" s="271">
        <f>$H80*Unit_Rates!$L$84</f>
        <v>0</v>
      </c>
      <c r="O80" s="271">
        <f>$H80*Unit_Rates!M86</f>
        <v>0</v>
      </c>
      <c r="P80" s="570">
        <f>SUM(K80:O80)</f>
        <v>1.7572212065813544</v>
      </c>
      <c r="Q80" s="571">
        <f>P80-H80*Unit_Rates!$E$84</f>
        <v>-9.6296221479275079E-3</v>
      </c>
      <c r="R80" s="627">
        <f t="shared" ref="R80:X81" si="28">$AI80*Z80*$H80</f>
        <v>0</v>
      </c>
      <c r="S80" s="627">
        <f t="shared" si="28"/>
        <v>0</v>
      </c>
      <c r="T80" s="627">
        <f t="shared" si="28"/>
        <v>0</v>
      </c>
      <c r="U80" s="627">
        <f t="shared" si="28"/>
        <v>0</v>
      </c>
      <c r="V80" s="627">
        <f t="shared" si="28"/>
        <v>11.089480339575838</v>
      </c>
      <c r="W80" s="627">
        <f t="shared" si="28"/>
        <v>0</v>
      </c>
      <c r="X80" s="627">
        <f t="shared" si="28"/>
        <v>0</v>
      </c>
      <c r="Y80" s="14">
        <f>SUM(R80:X80)</f>
        <v>11.089480339575838</v>
      </c>
      <c r="Z80" s="15"/>
      <c r="AA80" s="15"/>
      <c r="AB80" s="15"/>
      <c r="AC80" s="15"/>
      <c r="AD80" s="15">
        <v>1</v>
      </c>
      <c r="AE80" s="15"/>
      <c r="AF80" s="15"/>
      <c r="AG80" s="16">
        <f>SUM(Z80:AF80)</f>
        <v>1</v>
      </c>
      <c r="AH80" t="b">
        <f>AG80=1</f>
        <v>1</v>
      </c>
      <c r="AI80" s="47">
        <v>1.8482467232626396</v>
      </c>
    </row>
    <row r="81" spans="2:35" x14ac:dyDescent="0.25">
      <c r="B81" s="239"/>
      <c r="C81" s="161" t="s">
        <v>496</v>
      </c>
      <c r="D81" s="161" t="str">
        <f>Unit_Rates!G85</f>
        <v>Distribution system assets</v>
      </c>
      <c r="E81" s="161" t="str">
        <f>Unit_Rates!H85</f>
        <v>Replacement</v>
      </c>
      <c r="F81" s="161" t="str">
        <f>D81&amp;E81</f>
        <v>Distribution system assetsReplacement</v>
      </c>
      <c r="G81" s="256">
        <f>INDEX(Unit_Rates!$C$82:$K$87,MATCH($C81,Unit_Rates!$D$82:$D$87,0),7)</f>
        <v>0</v>
      </c>
      <c r="H81" s="431">
        <f>INDEX(Feeder_Vols!$I$18:$I$23,MATCH($B$3,Feeder_Vols!$G$18:$G$23,0),1)</f>
        <v>6</v>
      </c>
      <c r="I81" s="254" t="s">
        <v>308</v>
      </c>
      <c r="J81" s="161"/>
      <c r="K81" s="256">
        <f>G81*H81</f>
        <v>0</v>
      </c>
      <c r="L81" s="256">
        <f>SUMPRODUCT(R$5:X$5,R81:X81)/Thousands</f>
        <v>58.574040219378411</v>
      </c>
      <c r="M81" s="271"/>
      <c r="N81" s="271">
        <f>$H81*Unit_Rates!$L$85</f>
        <v>0</v>
      </c>
      <c r="O81" s="271"/>
      <c r="P81" s="570">
        <f>SUM(K81:O81)</f>
        <v>58.574040219378411</v>
      </c>
      <c r="Q81" s="571">
        <f>P81-H81*Unit_Rates!$E$85</f>
        <v>-0.32098740493098177</v>
      </c>
      <c r="R81" s="627">
        <f t="shared" si="28"/>
        <v>0</v>
      </c>
      <c r="S81" s="627">
        <f t="shared" si="28"/>
        <v>0</v>
      </c>
      <c r="T81" s="627">
        <f t="shared" si="28"/>
        <v>0</v>
      </c>
      <c r="U81" s="627">
        <f t="shared" si="28"/>
        <v>0</v>
      </c>
      <c r="V81" s="627">
        <f t="shared" si="28"/>
        <v>369.64934465252747</v>
      </c>
      <c r="W81" s="627">
        <f t="shared" si="28"/>
        <v>0</v>
      </c>
      <c r="X81" s="627">
        <f t="shared" si="28"/>
        <v>0</v>
      </c>
      <c r="Y81" s="14">
        <f>SUM(R81:X81)</f>
        <v>369.64934465252747</v>
      </c>
      <c r="Z81" s="15"/>
      <c r="AA81" s="15"/>
      <c r="AB81" s="15"/>
      <c r="AC81" s="15"/>
      <c r="AD81" s="15">
        <v>1</v>
      </c>
      <c r="AE81" s="15"/>
      <c r="AF81" s="15"/>
      <c r="AG81" s="16">
        <f>SUM(Z81:AF81)</f>
        <v>1</v>
      </c>
      <c r="AH81" t="b">
        <f>AG81=1</f>
        <v>1</v>
      </c>
      <c r="AI81" s="47">
        <v>61.608224108754577</v>
      </c>
    </row>
    <row r="82" spans="2:35" x14ac:dyDescent="0.25">
      <c r="B82" s="239"/>
      <c r="C82" s="161" t="s">
        <v>497</v>
      </c>
      <c r="D82" s="161" t="str">
        <f>Unit_Rates!G86</f>
        <v>Distribution system assets</v>
      </c>
      <c r="E82" s="161" t="str">
        <f>Unit_Rates!H86</f>
        <v>Replacement</v>
      </c>
      <c r="F82" s="161" t="str">
        <f>D82&amp;E82</f>
        <v>Distribution system assetsReplacement</v>
      </c>
      <c r="G82" s="256">
        <f>INDEX(Unit_Rates!$C$82:$K$87,MATCH($C82,Unit_Rates!$D$82:$D$87,0),7)</f>
        <v>4.9079189686924494</v>
      </c>
      <c r="H82" s="431">
        <f>INDEX(Feeder_Vols!$J$18:$J$23,MATCH($B$3,Feeder_Vols!$G$18:$G$23,0),1)</f>
        <v>4</v>
      </c>
      <c r="I82" s="254" t="s">
        <v>308</v>
      </c>
      <c r="J82" s="161"/>
      <c r="K82" s="256">
        <f>G82*H82</f>
        <v>19.631675874769797</v>
      </c>
      <c r="L82" s="256">
        <f>SUMPRODUCT(R$5:X$5,R82:X82)/Thousands</f>
        <v>0</v>
      </c>
      <c r="M82" s="271"/>
      <c r="N82" s="271">
        <f>$H82*Unit_Rates!$L$86</f>
        <v>63.802946593001842</v>
      </c>
      <c r="O82" s="271"/>
      <c r="P82" s="570">
        <f>SUM(K82:O82)</f>
        <v>83.434622467771646</v>
      </c>
      <c r="Q82" s="278">
        <f>P82-H82*Unit_Rates!$E$86</f>
        <v>0</v>
      </c>
      <c r="R82" s="520"/>
      <c r="S82" s="520"/>
      <c r="T82" s="520"/>
      <c r="U82" s="520"/>
      <c r="V82" s="520"/>
      <c r="W82" s="520"/>
      <c r="X82" s="520"/>
      <c r="Y82" s="14">
        <f>SUM(R82:X82)</f>
        <v>0</v>
      </c>
      <c r="Z82" s="15"/>
      <c r="AA82" s="15"/>
      <c r="AB82" s="15"/>
      <c r="AC82" s="15"/>
      <c r="AD82" s="15"/>
      <c r="AE82" s="15"/>
      <c r="AF82" s="15"/>
      <c r="AG82" s="16"/>
      <c r="AI82" s="5"/>
    </row>
    <row r="83" spans="2:35" x14ac:dyDescent="0.25">
      <c r="B83" s="239"/>
      <c r="C83" s="161" t="s">
        <v>523</v>
      </c>
      <c r="D83" s="161" t="str">
        <f>Unit_Rates!G87</f>
        <v>Distribution system assets</v>
      </c>
      <c r="E83" s="161" t="str">
        <f>Unit_Rates!H87</f>
        <v>Replacement</v>
      </c>
      <c r="F83" s="161" t="str">
        <f>D83&amp;E83</f>
        <v>Distribution system assetsReplacement</v>
      </c>
      <c r="G83" s="256">
        <f>INDEX(Unit_Rates!$C$82:$K$87,MATCH($C83,Unit_Rates!$D$82:$D$87,0),7)</f>
        <v>4.7168141592920348E-2</v>
      </c>
      <c r="H83" s="431">
        <f>INDEX(Feeder_Vols!$K$18:$K$23,MATCH($B$3,Feeder_Vols!$G$18:$G$23,0),1)</f>
        <v>540</v>
      </c>
      <c r="I83" s="254" t="s">
        <v>494</v>
      </c>
      <c r="J83" s="161"/>
      <c r="K83" s="256">
        <f>G83*H83</f>
        <v>25.470796460176988</v>
      </c>
      <c r="L83" s="256">
        <f>SUMPRODUCT(R$5:X$5,R83:X83)/Thousands</f>
        <v>0</v>
      </c>
      <c r="M83" s="271"/>
      <c r="N83" s="271">
        <f>$H83*Unit_Rates!$L$87</f>
        <v>247.67995818788671</v>
      </c>
      <c r="O83" s="271"/>
      <c r="P83" s="570">
        <f>SUM(K83:O83)</f>
        <v>273.1507546480637</v>
      </c>
      <c r="Q83" s="278">
        <f>P83-H83*Unit_Rates!$E$87</f>
        <v>0</v>
      </c>
      <c r="R83" s="520"/>
      <c r="S83" s="520"/>
      <c r="T83" s="520"/>
      <c r="U83" s="520"/>
      <c r="V83" s="520"/>
      <c r="W83" s="520"/>
      <c r="X83" s="520"/>
      <c r="Y83" s="14">
        <f>SUM(R83:X83)</f>
        <v>0</v>
      </c>
      <c r="Z83" s="15"/>
      <c r="AA83" s="15"/>
      <c r="AB83" s="15"/>
      <c r="AC83" s="15"/>
      <c r="AD83" s="15"/>
      <c r="AE83" s="15"/>
      <c r="AF83" s="15"/>
      <c r="AG83" s="16"/>
      <c r="AI83" s="5"/>
    </row>
    <row r="84" spans="2:35" x14ac:dyDescent="0.25">
      <c r="B84" s="239" t="s">
        <v>46</v>
      </c>
      <c r="C84" s="161"/>
      <c r="D84" s="161"/>
      <c r="E84" s="161"/>
      <c r="F84" s="161"/>
      <c r="G84" s="216"/>
      <c r="H84" s="219"/>
      <c r="I84" s="212"/>
      <c r="J84" s="161"/>
      <c r="K84" s="256"/>
      <c r="L84" s="256"/>
      <c r="M84" s="271"/>
      <c r="N84" s="271"/>
      <c r="O84" s="271"/>
      <c r="P84" s="570"/>
      <c r="R84" s="523"/>
      <c r="S84" s="522"/>
      <c r="T84" s="522"/>
      <c r="U84" s="522"/>
      <c r="V84" s="522"/>
      <c r="W84" s="522"/>
      <c r="X84" s="522"/>
      <c r="Y84" s="14"/>
      <c r="Z84" s="15"/>
      <c r="AA84" s="15"/>
      <c r="AB84" s="15"/>
      <c r="AC84" s="15"/>
      <c r="AD84" s="15"/>
      <c r="AE84" s="15"/>
      <c r="AF84" s="15"/>
      <c r="AI84" s="5"/>
    </row>
    <row r="85" spans="2:35" x14ac:dyDescent="0.25">
      <c r="B85" s="239"/>
      <c r="C85" s="161" t="s">
        <v>237</v>
      </c>
      <c r="D85" s="161" t="str">
        <f>Unit_Rates!G93</f>
        <v>Distribution system assets</v>
      </c>
      <c r="E85" s="161" t="str">
        <f>Unit_Rates!H93</f>
        <v>Replacement</v>
      </c>
      <c r="F85" s="161" t="str">
        <f>D85&amp;E85</f>
        <v>Distribution system assetsReplacement</v>
      </c>
      <c r="G85" s="216">
        <f>Unit_Rates!I93</f>
        <v>14.150442477876103</v>
      </c>
      <c r="H85" s="432">
        <f>INDEX(Feeder_Vols!$C$29:$F$34,MATCH($B$3,Feeder_Vols!$B$29:$B$34,0),1)</f>
        <v>3</v>
      </c>
      <c r="I85" s="252" t="s">
        <v>308</v>
      </c>
      <c r="J85" s="161"/>
      <c r="K85" s="256">
        <f>G85*H85</f>
        <v>42.451327433628308</v>
      </c>
      <c r="L85" s="256">
        <f>SUMPRODUCT(R$5:X$5,R85:X85)/Thousands</f>
        <v>6.9268689981691915</v>
      </c>
      <c r="M85" s="271">
        <f>$H85*Unit_Rates!K93</f>
        <v>13.209597770020622</v>
      </c>
      <c r="N85" s="271">
        <f>$H85*Unit_Rates!L93</f>
        <v>90.433832487250967</v>
      </c>
      <c r="O85" s="271">
        <f>$H85*Unit_Rates!M93</f>
        <v>0</v>
      </c>
      <c r="P85" s="570">
        <f>SUM(K85:O85)</f>
        <v>153.02162668906908</v>
      </c>
      <c r="Q85" s="277">
        <f>P85-(H85*Unit_Rates!$E$93)</f>
        <v>2.7083324932647201E-2</v>
      </c>
      <c r="R85" s="627">
        <f t="shared" ref="R85:X88" si="29">$AI85*Z85*$H85</f>
        <v>13.114235808613598</v>
      </c>
      <c r="S85" s="627">
        <f t="shared" si="29"/>
        <v>14.037773541614555</v>
      </c>
      <c r="T85" s="627">
        <f t="shared" si="29"/>
        <v>16.107990649771853</v>
      </c>
      <c r="U85" s="627">
        <f t="shared" si="29"/>
        <v>0</v>
      </c>
      <c r="V85" s="627">
        <f t="shared" si="29"/>
        <v>0</v>
      </c>
      <c r="W85" s="627">
        <f t="shared" si="29"/>
        <v>0</v>
      </c>
      <c r="X85" s="627">
        <f t="shared" si="29"/>
        <v>0</v>
      </c>
      <c r="Y85" s="14">
        <f t="shared" ref="Y85:Y93" si="30">SUM(R85:X85)</f>
        <v>43.260000000000005</v>
      </c>
      <c r="Z85" s="15">
        <v>0.30314923274650013</v>
      </c>
      <c r="AA85" s="15">
        <v>0.32449777026385929</v>
      </c>
      <c r="AB85" s="15">
        <v>0.37235299698964058</v>
      </c>
      <c r="AC85" s="15">
        <v>0</v>
      </c>
      <c r="AD85" s="15">
        <v>0</v>
      </c>
      <c r="AE85" s="15">
        <v>0</v>
      </c>
      <c r="AF85" s="15">
        <v>0</v>
      </c>
      <c r="AG85" s="16">
        <f>SUM(Z85:AF85)</f>
        <v>1</v>
      </c>
      <c r="AH85" t="b">
        <f t="shared" ref="AH85:AH93" si="31">AG85=1</f>
        <v>1</v>
      </c>
      <c r="AI85" s="5">
        <v>14.420000000000002</v>
      </c>
    </row>
    <row r="86" spans="2:35" x14ac:dyDescent="0.25">
      <c r="B86" s="239"/>
      <c r="C86" s="161" t="s">
        <v>239</v>
      </c>
      <c r="D86" s="161" t="str">
        <f>Unit_Rates!G94</f>
        <v>Distribution system assets</v>
      </c>
      <c r="E86" s="161" t="str">
        <f>Unit_Rates!H94</f>
        <v>Replacement</v>
      </c>
      <c r="F86" s="161" t="str">
        <f>D86&amp;E86</f>
        <v>Distribution system assetsReplacement</v>
      </c>
      <c r="G86" s="216">
        <f>Unit_Rates!I94</f>
        <v>21.323700104130506</v>
      </c>
      <c r="H86" s="432">
        <f>INDEX(Feeder_Vols!$C$29:$F$34,MATCH($B$3,Feeder_Vols!$B$29:$B$34,0),2)</f>
        <v>1</v>
      </c>
      <c r="I86" s="252" t="s">
        <v>308</v>
      </c>
      <c r="J86" s="161"/>
      <c r="K86" s="256">
        <f>G86*H86</f>
        <v>21.323700104130506</v>
      </c>
      <c r="L86" s="256">
        <f>SUMPRODUCT(R$5:X$5,R86:X86)/Thousands</f>
        <v>6.8797885572139581</v>
      </c>
      <c r="M86" s="271">
        <f>$H86*Unit_Rates!K94</f>
        <v>4.3901735508503981</v>
      </c>
      <c r="N86" s="271">
        <f>$H86*Unit_Rates!L94</f>
        <v>23.832370704616444</v>
      </c>
      <c r="O86" s="271">
        <f>$H86*Unit_Rates!M94</f>
        <v>6.2716765012148539</v>
      </c>
      <c r="P86" s="570">
        <f>SUM(K86:O86)</f>
        <v>62.697709418026164</v>
      </c>
      <c r="Q86" s="277">
        <f>P86-(H86*Unit_Rates!$E$94)</f>
        <v>-1.9055594122377784E-2</v>
      </c>
      <c r="R86" s="627">
        <f t="shared" si="29"/>
        <v>13.025101164256439</v>
      </c>
      <c r="S86" s="627">
        <f t="shared" si="29"/>
        <v>13.942361809626611</v>
      </c>
      <c r="T86" s="627">
        <f t="shared" si="29"/>
        <v>15.998508096702862</v>
      </c>
      <c r="U86" s="627">
        <f t="shared" si="29"/>
        <v>0</v>
      </c>
      <c r="V86" s="627">
        <f t="shared" si="29"/>
        <v>0</v>
      </c>
      <c r="W86" s="627">
        <f t="shared" si="29"/>
        <v>0</v>
      </c>
      <c r="X86" s="627">
        <f t="shared" si="29"/>
        <v>0</v>
      </c>
      <c r="Y86" s="14">
        <f t="shared" si="30"/>
        <v>42.965971070585915</v>
      </c>
      <c r="Z86" s="15">
        <v>0.30314923274650013</v>
      </c>
      <c r="AA86" s="15">
        <v>0.32449777026385929</v>
      </c>
      <c r="AB86" s="15">
        <v>0.37235299698964064</v>
      </c>
      <c r="AC86" s="15">
        <v>0</v>
      </c>
      <c r="AD86" s="15">
        <v>0</v>
      </c>
      <c r="AE86" s="15">
        <v>0</v>
      </c>
      <c r="AF86" s="15">
        <v>0</v>
      </c>
      <c r="AG86" s="16">
        <f>SUM(Z86:AF86)</f>
        <v>1</v>
      </c>
      <c r="AH86" t="b">
        <f t="shared" si="31"/>
        <v>1</v>
      </c>
      <c r="AI86" s="5">
        <v>42.965971070585908</v>
      </c>
    </row>
    <row r="87" spans="2:35" x14ac:dyDescent="0.25">
      <c r="B87" s="239"/>
      <c r="C87" s="161" t="s">
        <v>241</v>
      </c>
      <c r="D87" s="161" t="str">
        <f>Unit_Rates!G95</f>
        <v>Distribution system assets</v>
      </c>
      <c r="E87" s="161" t="str">
        <f>Unit_Rates!H95</f>
        <v>Replacement</v>
      </c>
      <c r="F87" s="161" t="str">
        <f>D87&amp;E87</f>
        <v>Distribution system assetsReplacement</v>
      </c>
      <c r="G87" s="216">
        <f>Unit_Rates!I95</f>
        <v>14.297621705426357</v>
      </c>
      <c r="H87" s="432">
        <f>INDEX(Feeder_Vols!$C$29:$F$34,MATCH($B$3,Feeder_Vols!$B$29:$B$34,0),3)</f>
        <v>0</v>
      </c>
      <c r="I87" s="252" t="s">
        <v>308</v>
      </c>
      <c r="J87" s="161"/>
      <c r="K87" s="256">
        <f>G87*H87</f>
        <v>0</v>
      </c>
      <c r="L87" s="256">
        <f>SUMPRODUCT(R$5:X$5,R87:X87)/Thousands</f>
        <v>0</v>
      </c>
      <c r="M87" s="271">
        <f>$H87*Unit_Rates!K95</f>
        <v>0</v>
      </c>
      <c r="N87" s="271">
        <f>$H87*Unit_Rates!L95</f>
        <v>0</v>
      </c>
      <c r="O87" s="271">
        <f>$H87*Unit_Rates!M95</f>
        <v>0</v>
      </c>
      <c r="P87" s="570">
        <f>SUM(K87:O87)</f>
        <v>0</v>
      </c>
      <c r="Q87" s="277">
        <f>P87-(H87*Unit_Rates!$E$95)</f>
        <v>0</v>
      </c>
      <c r="R87" s="627">
        <f t="shared" si="29"/>
        <v>0</v>
      </c>
      <c r="S87" s="627">
        <f t="shared" si="29"/>
        <v>0</v>
      </c>
      <c r="T87" s="627">
        <f t="shared" si="29"/>
        <v>0</v>
      </c>
      <c r="U87" s="627">
        <f t="shared" si="29"/>
        <v>0</v>
      </c>
      <c r="V87" s="627">
        <f t="shared" si="29"/>
        <v>0</v>
      </c>
      <c r="W87" s="627">
        <f t="shared" si="29"/>
        <v>0</v>
      </c>
      <c r="X87" s="627">
        <f t="shared" si="29"/>
        <v>0</v>
      </c>
      <c r="Y87" s="14">
        <f t="shared" si="30"/>
        <v>0</v>
      </c>
      <c r="Z87" s="15">
        <v>0.11818857666880556</v>
      </c>
      <c r="AA87" s="15">
        <v>0.49778875974979209</v>
      </c>
      <c r="AB87" s="15">
        <v>0.3840226635814023</v>
      </c>
      <c r="AC87" s="15">
        <v>0</v>
      </c>
      <c r="AD87" s="15">
        <v>0</v>
      </c>
      <c r="AE87" s="15">
        <v>0</v>
      </c>
      <c r="AF87" s="15">
        <v>0</v>
      </c>
      <c r="AG87" s="16">
        <f>SUM(Z87:AF87)</f>
        <v>1</v>
      </c>
      <c r="AH87" t="b">
        <f t="shared" si="31"/>
        <v>1</v>
      </c>
      <c r="AI87" s="5">
        <v>144.70421211980818</v>
      </c>
    </row>
    <row r="88" spans="2:35" x14ac:dyDescent="0.25">
      <c r="B88" s="239"/>
      <c r="C88" s="161" t="s">
        <v>243</v>
      </c>
      <c r="D88" s="161" t="str">
        <f>Unit_Rates!G96</f>
        <v>Distribution system assets</v>
      </c>
      <c r="E88" s="161" t="str">
        <f>Unit_Rates!H96</f>
        <v>Replacement</v>
      </c>
      <c r="F88" s="161" t="str">
        <f>D88&amp;E88</f>
        <v>Distribution system assetsReplacement</v>
      </c>
      <c r="G88" s="216">
        <f>Unit_Rates!I96</f>
        <v>182.28643631627907</v>
      </c>
      <c r="H88" s="432">
        <f>INDEX(Feeder_Vols!$C$29:$F$34,MATCH($B$3,Feeder_Vols!$B$29:$B$34,0),4)</f>
        <v>0</v>
      </c>
      <c r="I88" s="252" t="s">
        <v>308</v>
      </c>
      <c r="J88" s="161"/>
      <c r="K88" s="256">
        <f>G88*H88</f>
        <v>0</v>
      </c>
      <c r="L88" s="256">
        <f>SUMPRODUCT(R$5:X$5,R88:X88)/Thousands</f>
        <v>0</v>
      </c>
      <c r="M88" s="271">
        <f>$H88*Unit_Rates!K96</f>
        <v>0</v>
      </c>
      <c r="N88" s="271">
        <f>$H88*Unit_Rates!L96</f>
        <v>0</v>
      </c>
      <c r="O88" s="271">
        <f>$H88*Unit_Rates!M96</f>
        <v>0</v>
      </c>
      <c r="P88" s="570">
        <f>SUM(K88:O88)</f>
        <v>0</v>
      </c>
      <c r="Q88" s="277">
        <f>P88-(H88*Unit_Rates!$E$96)</f>
        <v>0</v>
      </c>
      <c r="R88" s="627">
        <f t="shared" si="29"/>
        <v>0</v>
      </c>
      <c r="S88" s="627">
        <f t="shared" si="29"/>
        <v>0</v>
      </c>
      <c r="T88" s="627">
        <f t="shared" si="29"/>
        <v>0</v>
      </c>
      <c r="U88" s="627">
        <f t="shared" si="29"/>
        <v>0</v>
      </c>
      <c r="V88" s="627">
        <f t="shared" si="29"/>
        <v>0</v>
      </c>
      <c r="W88" s="627">
        <f t="shared" si="29"/>
        <v>0</v>
      </c>
      <c r="X88" s="627">
        <f t="shared" si="29"/>
        <v>0</v>
      </c>
      <c r="Y88" s="14">
        <f t="shared" si="30"/>
        <v>0</v>
      </c>
      <c r="Z88" s="15">
        <v>0.69942688247564233</v>
      </c>
      <c r="AA88" s="15">
        <v>4.8454943655496512E-2</v>
      </c>
      <c r="AB88" s="15">
        <v>0.25211817386886121</v>
      </c>
      <c r="AC88" s="15">
        <v>0</v>
      </c>
      <c r="AD88" s="15">
        <v>0</v>
      </c>
      <c r="AE88" s="15">
        <v>0</v>
      </c>
      <c r="AF88" s="15">
        <v>0</v>
      </c>
      <c r="AG88" s="16">
        <f>SUM(Z88:AF88)</f>
        <v>1</v>
      </c>
      <c r="AH88" t="b">
        <f t="shared" si="31"/>
        <v>1</v>
      </c>
      <c r="AI88" s="5">
        <v>220.41130997006761</v>
      </c>
    </row>
    <row r="89" spans="2:35" x14ac:dyDescent="0.25">
      <c r="B89" s="239" t="s">
        <v>312</v>
      </c>
      <c r="C89" s="161"/>
      <c r="D89" s="161"/>
      <c r="E89" s="161"/>
      <c r="F89" s="161"/>
      <c r="G89" s="216"/>
      <c r="H89" s="219"/>
      <c r="I89" s="252"/>
      <c r="J89" s="161"/>
      <c r="K89" s="256"/>
      <c r="L89" s="256"/>
      <c r="M89" s="271"/>
      <c r="N89" s="271"/>
      <c r="O89" s="271"/>
      <c r="P89" s="570"/>
      <c r="R89" s="522"/>
      <c r="S89" s="522"/>
      <c r="T89" s="522"/>
      <c r="U89" s="522"/>
      <c r="V89" s="522"/>
      <c r="W89" s="522"/>
      <c r="X89" s="522"/>
      <c r="Y89" s="14"/>
    </row>
    <row r="90" spans="2:35" x14ac:dyDescent="0.25">
      <c r="B90" s="220"/>
      <c r="C90" s="161" t="s">
        <v>535</v>
      </c>
      <c r="D90" s="161" t="str">
        <f>Unit_Rates!G102</f>
        <v>Distribution system assets</v>
      </c>
      <c r="E90" s="161" t="str">
        <f>Unit_Rates!H102</f>
        <v>Augmentation</v>
      </c>
      <c r="F90" s="161" t="str">
        <f>D90&amp;E90</f>
        <v>Distribution system assetsAugmentation</v>
      </c>
      <c r="G90" s="216">
        <f>Unit_Rates!I102</f>
        <v>0</v>
      </c>
      <c r="H90" s="431">
        <f>INDEX(Feeder_Vols!$C$39:$F$44,MATCH($B$3,Feeder_Vols!$B$39:$B$44,0),1)</f>
        <v>0</v>
      </c>
      <c r="I90" s="252" t="s">
        <v>308</v>
      </c>
      <c r="J90" s="161"/>
      <c r="K90" s="256">
        <f>G90*H90</f>
        <v>0</v>
      </c>
      <c r="L90" s="256">
        <f>SUMPRODUCT(R$5:X$5,R90:X90)/Thousands</f>
        <v>0</v>
      </c>
      <c r="M90" s="271">
        <f>$H90*Unit_Rates!K102</f>
        <v>0</v>
      </c>
      <c r="N90" s="271">
        <f>$H90*Unit_Rates!L102</f>
        <v>0</v>
      </c>
      <c r="O90" s="271">
        <f>$H90*Unit_Rates!M102</f>
        <v>0</v>
      </c>
      <c r="P90" s="570">
        <f>SUM(K90:O90)</f>
        <v>0</v>
      </c>
      <c r="Q90" s="571">
        <f>P90-H90*Unit_Rates!$E102</f>
        <v>0</v>
      </c>
      <c r="R90" s="627">
        <f t="shared" ref="R90:X93" si="32">$AI90*Z90*$H90</f>
        <v>0</v>
      </c>
      <c r="S90" s="627">
        <f t="shared" si="32"/>
        <v>0</v>
      </c>
      <c r="T90" s="627">
        <f t="shared" si="32"/>
        <v>0</v>
      </c>
      <c r="U90" s="627">
        <f t="shared" si="32"/>
        <v>0</v>
      </c>
      <c r="V90" s="627">
        <f t="shared" si="32"/>
        <v>0</v>
      </c>
      <c r="W90" s="627">
        <f t="shared" si="32"/>
        <v>0</v>
      </c>
      <c r="X90" s="627">
        <f t="shared" si="32"/>
        <v>0</v>
      </c>
      <c r="Y90" s="14">
        <f t="shared" si="30"/>
        <v>0</v>
      </c>
      <c r="Z90" s="15">
        <v>0.18112413889844414</v>
      </c>
      <c r="AA90" s="15">
        <v>0.21477521965386426</v>
      </c>
      <c r="AB90" s="15">
        <v>0.6041006414476916</v>
      </c>
      <c r="AC90" s="15">
        <v>0</v>
      </c>
      <c r="AD90" s="15">
        <v>0</v>
      </c>
      <c r="AE90" s="15">
        <v>0</v>
      </c>
      <c r="AF90" s="15">
        <v>0</v>
      </c>
      <c r="AG90" s="16">
        <f>SUM(Z90:AF90)</f>
        <v>1</v>
      </c>
      <c r="AH90" t="b">
        <f t="shared" si="31"/>
        <v>1</v>
      </c>
      <c r="AI90" s="365">
        <v>469.77670058953754</v>
      </c>
    </row>
    <row r="91" spans="2:35" x14ac:dyDescent="0.25">
      <c r="B91" s="220"/>
      <c r="C91" s="161" t="s">
        <v>467</v>
      </c>
      <c r="D91" s="161" t="str">
        <f>Unit_Rates!G103</f>
        <v>Distribution system assets</v>
      </c>
      <c r="E91" s="161" t="str">
        <f>Unit_Rates!H103</f>
        <v>Augmentation</v>
      </c>
      <c r="F91" s="161" t="str">
        <f>D91&amp;E91</f>
        <v>Distribution system assetsAugmentation</v>
      </c>
      <c r="G91" s="216">
        <f>Unit_Rates!I103</f>
        <v>0</v>
      </c>
      <c r="H91" s="431">
        <f>INDEX(Feeder_Vols!$C$39:$F$44,MATCH($B$3,Feeder_Vols!$B$39:$B$44,0),2)</f>
        <v>0</v>
      </c>
      <c r="I91" s="252" t="s">
        <v>308</v>
      </c>
      <c r="J91" s="161"/>
      <c r="K91" s="256">
        <f>G91*H91</f>
        <v>0</v>
      </c>
      <c r="L91" s="256">
        <f>SUMPRODUCT(R$5:X$5,R91:X91)/Thousands</f>
        <v>0</v>
      </c>
      <c r="M91" s="271">
        <f>$H91*Unit_Rates!K103</f>
        <v>0</v>
      </c>
      <c r="N91" s="271">
        <f>$H91*Unit_Rates!L103</f>
        <v>0</v>
      </c>
      <c r="O91" s="271">
        <f>$H91*Unit_Rates!M103</f>
        <v>0</v>
      </c>
      <c r="P91" s="570">
        <f>SUM(K91:O91)</f>
        <v>0</v>
      </c>
      <c r="Q91" s="571">
        <f>P91-H91*Unit_Rates!$E103</f>
        <v>0</v>
      </c>
      <c r="R91" s="627">
        <f t="shared" si="32"/>
        <v>0</v>
      </c>
      <c r="S91" s="627">
        <f t="shared" si="32"/>
        <v>0</v>
      </c>
      <c r="T91" s="627">
        <f t="shared" si="32"/>
        <v>0</v>
      </c>
      <c r="U91" s="627">
        <f t="shared" si="32"/>
        <v>0</v>
      </c>
      <c r="V91" s="627">
        <f t="shared" si="32"/>
        <v>0</v>
      </c>
      <c r="W91" s="627">
        <f t="shared" si="32"/>
        <v>0</v>
      </c>
      <c r="X91" s="627">
        <f t="shared" si="32"/>
        <v>0</v>
      </c>
      <c r="Y91" s="14">
        <f t="shared" si="30"/>
        <v>0</v>
      </c>
      <c r="Z91" s="15">
        <v>0.18112413889844414</v>
      </c>
      <c r="AA91" s="15">
        <v>0.42955043930772852</v>
      </c>
      <c r="AB91" s="15">
        <v>0.3893254217938274</v>
      </c>
      <c r="AC91" s="15">
        <v>0</v>
      </c>
      <c r="AD91" s="15">
        <v>0</v>
      </c>
      <c r="AE91" s="15">
        <v>0</v>
      </c>
      <c r="AF91" s="15">
        <v>0</v>
      </c>
      <c r="AG91" s="16">
        <f>SUM(Z91:AF91)</f>
        <v>1</v>
      </c>
      <c r="AH91" t="b">
        <f t="shared" si="31"/>
        <v>1</v>
      </c>
      <c r="AI91" s="365">
        <v>500.15046310508262</v>
      </c>
    </row>
    <row r="92" spans="2:35" x14ac:dyDescent="0.25">
      <c r="B92" s="220"/>
      <c r="C92" s="161" t="s">
        <v>466</v>
      </c>
      <c r="D92" s="161" t="str">
        <f>Unit_Rates!G104</f>
        <v>Distribution system assets</v>
      </c>
      <c r="E92" s="161" t="str">
        <f>Unit_Rates!H104</f>
        <v>Augmentation</v>
      </c>
      <c r="F92" s="161" t="str">
        <f>D92&amp;E92</f>
        <v>Distribution system assetsAugmentation</v>
      </c>
      <c r="G92" s="216">
        <f>Unit_Rates!I104</f>
        <v>0</v>
      </c>
      <c r="H92" s="431">
        <f>INDEX(Feeder_Vols!$C$39:$F$44,MATCH($B$3,Feeder_Vols!$B$39:$B$44,0),3)</f>
        <v>0</v>
      </c>
      <c r="I92" s="252" t="s">
        <v>308</v>
      </c>
      <c r="J92" s="161"/>
      <c r="K92" s="256">
        <f>G92*H92</f>
        <v>0</v>
      </c>
      <c r="L92" s="256">
        <f>SUMPRODUCT(R$5:X$5,R92:X92)/Thousands</f>
        <v>0</v>
      </c>
      <c r="M92" s="271">
        <f>$H92*Unit_Rates!K104</f>
        <v>0</v>
      </c>
      <c r="N92" s="271">
        <f>$H92*Unit_Rates!L104</f>
        <v>0</v>
      </c>
      <c r="O92" s="271">
        <f>$H92*Unit_Rates!M104</f>
        <v>0</v>
      </c>
      <c r="P92" s="570">
        <f>SUM(K92:O92)</f>
        <v>0</v>
      </c>
      <c r="Q92" s="571">
        <f>P92-H92*Unit_Rates!$E104</f>
        <v>0</v>
      </c>
      <c r="R92" s="627">
        <f t="shared" si="32"/>
        <v>0</v>
      </c>
      <c r="S92" s="627">
        <f t="shared" si="32"/>
        <v>0</v>
      </c>
      <c r="T92" s="627">
        <f t="shared" si="32"/>
        <v>0</v>
      </c>
      <c r="U92" s="627">
        <f t="shared" si="32"/>
        <v>0</v>
      </c>
      <c r="V92" s="627">
        <f t="shared" si="32"/>
        <v>0</v>
      </c>
      <c r="W92" s="627">
        <f t="shared" si="32"/>
        <v>0</v>
      </c>
      <c r="X92" s="627">
        <f t="shared" si="32"/>
        <v>0</v>
      </c>
      <c r="Y92" s="14">
        <f t="shared" si="30"/>
        <v>0</v>
      </c>
      <c r="Z92" s="15">
        <v>0.18112413889844414</v>
      </c>
      <c r="AA92" s="15">
        <v>0.42955043930772852</v>
      </c>
      <c r="AB92" s="15">
        <v>0.3893254217938274</v>
      </c>
      <c r="AC92" s="15">
        <v>0</v>
      </c>
      <c r="AD92" s="15">
        <v>0</v>
      </c>
      <c r="AE92" s="15">
        <v>0</v>
      </c>
      <c r="AF92" s="15">
        <v>0</v>
      </c>
      <c r="AG92" s="16">
        <f>SUM(Z92:AF92)</f>
        <v>1</v>
      </c>
      <c r="AH92" t="b">
        <f t="shared" si="31"/>
        <v>1</v>
      </c>
      <c r="AI92" s="365">
        <v>416.11120533381393</v>
      </c>
    </row>
    <row r="93" spans="2:35" x14ac:dyDescent="0.25">
      <c r="B93" s="220"/>
      <c r="C93" s="161" t="s">
        <v>311</v>
      </c>
      <c r="D93" s="161" t="str">
        <f>Unit_Rates!G105</f>
        <v>Distribution system assets</v>
      </c>
      <c r="E93" s="161" t="str">
        <f>Unit_Rates!H105</f>
        <v>Replacement</v>
      </c>
      <c r="F93" s="161" t="str">
        <f>D93&amp;E93</f>
        <v>Distribution system assetsReplacement</v>
      </c>
      <c r="G93" s="216">
        <f>Unit_Rates!I105</f>
        <v>30.885851347412974</v>
      </c>
      <c r="H93" s="431">
        <f>INDEX(Feeder_Vols!$C$39:$I$44,MATCH($B$3,Feeder_Vols!$B$39:$B$44,0),7)</f>
        <v>3</v>
      </c>
      <c r="I93" s="252" t="s">
        <v>308</v>
      </c>
      <c r="J93" s="161"/>
      <c r="K93" s="256">
        <f>G93*H93</f>
        <v>92.657554042238928</v>
      </c>
      <c r="L93" s="256">
        <f>SUMPRODUCT(R$5:X$5,R93:X93)/Thousands</f>
        <v>29.331111028308651</v>
      </c>
      <c r="M93" s="271">
        <f>$H93*Unit_Rates!K105</f>
        <v>18.629887175555744</v>
      </c>
      <c r="N93" s="271">
        <f>$H93*Unit_Rates!L105</f>
        <v>100.60139074800098</v>
      </c>
      <c r="O93" s="271">
        <f>$H93*Unit_Rates!M105</f>
        <v>27.17026020787457</v>
      </c>
      <c r="P93" s="570">
        <f>SUM(K93:O93)</f>
        <v>268.39020320197886</v>
      </c>
      <c r="Q93" s="571">
        <f>P93-H93*Unit_Rates!$E105</f>
        <v>0.11696322654057667</v>
      </c>
      <c r="R93" s="627">
        <f t="shared" si="32"/>
        <v>55.530876454503897</v>
      </c>
      <c r="S93" s="627">
        <f t="shared" si="32"/>
        <v>59.441501556933744</v>
      </c>
      <c r="T93" s="627">
        <f t="shared" si="32"/>
        <v>68.20762198856238</v>
      </c>
      <c r="U93" s="627">
        <f t="shared" si="32"/>
        <v>0</v>
      </c>
      <c r="V93" s="627">
        <f t="shared" si="32"/>
        <v>0</v>
      </c>
      <c r="W93" s="627">
        <f t="shared" si="32"/>
        <v>0</v>
      </c>
      <c r="X93" s="627">
        <f t="shared" si="32"/>
        <v>0</v>
      </c>
      <c r="Y93" s="14">
        <f t="shared" si="30"/>
        <v>183.18</v>
      </c>
      <c r="Z93" s="15">
        <v>0.30314923274650013</v>
      </c>
      <c r="AA93" s="15">
        <v>0.32449777026385929</v>
      </c>
      <c r="AB93" s="15">
        <v>0.37235299698964064</v>
      </c>
      <c r="AC93" s="15">
        <v>0</v>
      </c>
      <c r="AD93" s="15">
        <v>0</v>
      </c>
      <c r="AE93" s="15">
        <v>0</v>
      </c>
      <c r="AF93" s="15">
        <v>0</v>
      </c>
      <c r="AG93" s="16">
        <f>SUM(Z93:AF93)</f>
        <v>1</v>
      </c>
      <c r="AH93" t="b">
        <f t="shared" si="31"/>
        <v>1</v>
      </c>
      <c r="AI93" s="365">
        <v>61.06</v>
      </c>
    </row>
    <row r="94" spans="2:35" x14ac:dyDescent="0.25">
      <c r="B94" s="220"/>
      <c r="C94" s="161"/>
      <c r="D94" s="161"/>
      <c r="E94" s="161"/>
      <c r="F94" s="161"/>
      <c r="G94" s="212"/>
      <c r="H94" s="220"/>
      <c r="I94" s="212"/>
      <c r="J94" s="161"/>
      <c r="K94" s="223"/>
      <c r="L94" s="223"/>
      <c r="M94" s="569"/>
      <c r="N94" s="569"/>
      <c r="O94" s="569"/>
      <c r="P94" s="559"/>
    </row>
    <row r="95" spans="2:35" x14ac:dyDescent="0.25">
      <c r="B95" s="239" t="s">
        <v>299</v>
      </c>
      <c r="C95" s="161"/>
      <c r="D95" s="161"/>
      <c r="E95" s="161"/>
      <c r="F95" s="161"/>
      <c r="G95" s="212"/>
      <c r="H95" s="220"/>
      <c r="I95" s="212"/>
      <c r="J95" s="161"/>
      <c r="K95" s="302">
        <f t="shared" ref="K95:P95" si="33">SUM(K77:K93)</f>
        <v>624.95559099120942</v>
      </c>
      <c r="L95" s="302">
        <f t="shared" si="33"/>
        <v>276.93925802767654</v>
      </c>
      <c r="M95" s="567">
        <f t="shared" si="33"/>
        <v>134.36612156855807</v>
      </c>
      <c r="N95" s="567">
        <f t="shared" si="33"/>
        <v>1417.8943838999351</v>
      </c>
      <c r="O95" s="567">
        <f t="shared" si="33"/>
        <v>90.893448009212534</v>
      </c>
      <c r="P95" s="567">
        <f t="shared" si="33"/>
        <v>2545.0488024965912</v>
      </c>
      <c r="R95" s="572"/>
      <c r="S95" s="572"/>
      <c r="T95" s="572"/>
      <c r="U95" s="445"/>
      <c r="V95" s="445"/>
      <c r="Z95" s="381"/>
      <c r="AA95" s="381"/>
      <c r="AB95" s="381"/>
    </row>
    <row r="96" spans="2:35" x14ac:dyDescent="0.25">
      <c r="B96" s="247" t="s">
        <v>72</v>
      </c>
      <c r="C96" s="248"/>
      <c r="D96" s="248"/>
      <c r="E96" s="248"/>
      <c r="F96" s="248"/>
      <c r="G96" s="248"/>
      <c r="H96" s="248"/>
      <c r="I96" s="248"/>
      <c r="J96" s="248"/>
      <c r="K96" s="306">
        <f>K95-SUMIF(Direct_Capex_Totals!$B$16:$B$85,$B$3,Direct_Capex_Totals!Q$16:Q$85)</f>
        <v>0</v>
      </c>
      <c r="L96" s="306">
        <f>L95-SUMIF(Direct_Capex_Totals!$B$16:$B$85,$B$3,Direct_Capex_Totals!R$16:R$85)</f>
        <v>0</v>
      </c>
      <c r="M96" s="306">
        <f>M95-SUMIF(Direct_Capex_Totals!$B$16:$B$85,$B$3,Direct_Capex_Totals!S$16:S$85)</f>
        <v>0</v>
      </c>
      <c r="N96" s="306">
        <f>N95-SUMIF(Direct_Capex_Totals!$B$16:$B$85,$B$3,Direct_Capex_Totals!T$16:T$85)</f>
        <v>0</v>
      </c>
      <c r="O96" s="306">
        <f>O95-SUMIF(Direct_Capex_Totals!$B$16:$B$85,$B$3,Direct_Capex_Totals!U$16:U$85)</f>
        <v>0</v>
      </c>
      <c r="P96" s="307">
        <f>SUM(K96:O96)</f>
        <v>0</v>
      </c>
      <c r="Q96" s="278"/>
      <c r="R96" s="445"/>
      <c r="S96" s="445"/>
      <c r="T96" s="445"/>
      <c r="U96" s="445"/>
      <c r="V96" s="445"/>
    </row>
    <row r="97" spans="2:28" x14ac:dyDescent="0.25">
      <c r="B97" s="220"/>
      <c r="C97" s="161"/>
      <c r="D97" s="161"/>
      <c r="E97" s="161"/>
      <c r="F97" s="161"/>
      <c r="G97" s="161"/>
      <c r="H97" s="161"/>
      <c r="I97" s="161"/>
      <c r="J97" s="161"/>
      <c r="K97" s="147"/>
      <c r="L97" s="147"/>
      <c r="M97" s="573"/>
      <c r="N97" s="573"/>
      <c r="O97" s="573"/>
      <c r="P97" s="574"/>
      <c r="Z97" s="275"/>
      <c r="AA97" s="275"/>
      <c r="AB97" s="275"/>
    </row>
    <row r="98" spans="2:28" x14ac:dyDescent="0.25">
      <c r="B98" s="239" t="s">
        <v>119</v>
      </c>
      <c r="C98" s="240"/>
      <c r="D98" s="240"/>
      <c r="E98" s="240"/>
      <c r="F98" s="240"/>
      <c r="G98" s="240"/>
      <c r="H98" s="240"/>
      <c r="I98" s="240"/>
      <c r="J98" s="240"/>
      <c r="K98" s="26">
        <f t="shared" ref="K98:P98" si="34">K62+K95</f>
        <v>6129.1381171216863</v>
      </c>
      <c r="L98" s="26">
        <f t="shared" si="34"/>
        <v>1393.5705164471717</v>
      </c>
      <c r="M98" s="575">
        <f t="shared" si="34"/>
        <v>1266.4015197986464</v>
      </c>
      <c r="N98" s="575">
        <f t="shared" si="34"/>
        <v>9043.3998858803698</v>
      </c>
      <c r="O98" s="575">
        <f t="shared" si="34"/>
        <v>203.11058472265307</v>
      </c>
      <c r="P98" s="576">
        <f t="shared" si="34"/>
        <v>18035.620623970524</v>
      </c>
    </row>
    <row r="99" spans="2:28" x14ac:dyDescent="0.25">
      <c r="B99" s="246" t="s">
        <v>72</v>
      </c>
      <c r="C99" s="242"/>
      <c r="D99" s="242"/>
      <c r="E99" s="242"/>
      <c r="F99" s="242"/>
      <c r="G99" s="242"/>
      <c r="H99" s="242"/>
      <c r="I99" s="242"/>
      <c r="J99" s="242"/>
      <c r="K99" s="243">
        <f>K98-Direct_Capex_Totals!Q110</f>
        <v>0</v>
      </c>
      <c r="L99" s="243">
        <f>L98-Direct_Capex_Totals!R110</f>
        <v>0</v>
      </c>
      <c r="M99" s="577">
        <f>M98-Direct_Capex_Totals!S110</f>
        <v>0</v>
      </c>
      <c r="N99" s="577">
        <f>N98-Direct_Capex_Totals!T110</f>
        <v>0</v>
      </c>
      <c r="O99" s="577">
        <f>O98-Direct_Capex_Totals!U110</f>
        <v>0</v>
      </c>
      <c r="P99" s="578">
        <f>SUM(K99:O99)</f>
        <v>0</v>
      </c>
      <c r="AB99" s="275"/>
    </row>
    <row r="102" spans="2:28" outlineLevel="1" x14ac:dyDescent="0.25">
      <c r="C102" t="s">
        <v>277</v>
      </c>
      <c r="D102" t="s">
        <v>18</v>
      </c>
      <c r="E102" t="s">
        <v>42</v>
      </c>
      <c r="F102" s="161" t="str">
        <f>D102&amp;E102</f>
        <v>SubtransmissionAugmentation</v>
      </c>
      <c r="K102" s="6">
        <v>2797.979380648967</v>
      </c>
      <c r="L102" s="6">
        <v>0</v>
      </c>
      <c r="M102" s="438">
        <v>0</v>
      </c>
      <c r="N102" s="438">
        <v>5710.5763016283181</v>
      </c>
      <c r="O102" s="438">
        <v>107.33770973451325</v>
      </c>
      <c r="P102" s="438">
        <f>SUM(K102:O102)</f>
        <v>8615.8933920117979</v>
      </c>
    </row>
    <row r="103" spans="2:28" outlineLevel="1" x14ac:dyDescent="0.25">
      <c r="D103" t="s">
        <v>18</v>
      </c>
      <c r="E103" t="s">
        <v>44</v>
      </c>
      <c r="F103" s="161" t="str">
        <f>D103&amp;E103</f>
        <v>SubtransmissionReplacement</v>
      </c>
      <c r="K103" s="6">
        <v>0</v>
      </c>
      <c r="L103" s="6">
        <v>0</v>
      </c>
      <c r="M103" s="438">
        <v>0</v>
      </c>
      <c r="N103" s="438">
        <v>0</v>
      </c>
      <c r="O103" s="438">
        <v>0</v>
      </c>
      <c r="P103" s="438">
        <f t="shared" ref="P103:P122" si="35">SUM(K103:O103)</f>
        <v>0</v>
      </c>
      <c r="R103" s="579"/>
      <c r="S103" s="579"/>
      <c r="T103" s="579"/>
    </row>
    <row r="104" spans="2:28" outlineLevel="1" x14ac:dyDescent="0.25">
      <c r="D104" t="s">
        <v>22</v>
      </c>
      <c r="E104" t="s">
        <v>42</v>
      </c>
      <c r="F104" s="161" t="str">
        <f>D104&amp;E104</f>
        <v>SCADA/Network controlAugmentation</v>
      </c>
      <c r="K104" s="6">
        <v>2706.2031454815096</v>
      </c>
      <c r="L104" s="6">
        <v>0</v>
      </c>
      <c r="M104" s="438">
        <v>0</v>
      </c>
      <c r="N104" s="438">
        <v>499.88495256450773</v>
      </c>
      <c r="O104" s="438">
        <v>4.8794269789272953</v>
      </c>
      <c r="P104" s="438">
        <f t="shared" si="35"/>
        <v>3210.9675250249447</v>
      </c>
    </row>
    <row r="105" spans="2:28" outlineLevel="1" x14ac:dyDescent="0.25">
      <c r="D105" t="s">
        <v>22</v>
      </c>
      <c r="E105" t="s">
        <v>44</v>
      </c>
      <c r="F105" s="161" t="str">
        <f>D105&amp;E105</f>
        <v>SCADA/Network controlReplacement</v>
      </c>
      <c r="K105" s="6">
        <v>0</v>
      </c>
      <c r="L105" s="6">
        <v>0</v>
      </c>
      <c r="M105" s="438">
        <v>0</v>
      </c>
      <c r="N105" s="438">
        <v>0</v>
      </c>
      <c r="O105" s="438">
        <v>0</v>
      </c>
      <c r="P105" s="438">
        <f t="shared" si="35"/>
        <v>0</v>
      </c>
    </row>
    <row r="106" spans="2:28" outlineLevel="1" x14ac:dyDescent="0.25">
      <c r="D106" t="s">
        <v>211</v>
      </c>
      <c r="E106" t="s">
        <v>83</v>
      </c>
      <c r="F106" s="161" t="str">
        <f>D106&amp;E106</f>
        <v>LandNon-Network</v>
      </c>
      <c r="K106" s="39">
        <v>0</v>
      </c>
      <c r="L106" s="39">
        <v>0</v>
      </c>
      <c r="M106" s="580">
        <v>0</v>
      </c>
      <c r="N106" s="580">
        <v>1415.0442477876099</v>
      </c>
      <c r="O106" s="580">
        <v>0</v>
      </c>
      <c r="P106" s="580">
        <f t="shared" si="35"/>
        <v>1415.0442477876099</v>
      </c>
    </row>
    <row r="107" spans="2:28" outlineLevel="1" x14ac:dyDescent="0.25">
      <c r="F107" s="161"/>
      <c r="K107" s="6">
        <f t="shared" ref="K107:P107" si="36">SUM(K102:K106)</f>
        <v>5504.1825261304766</v>
      </c>
      <c r="L107" s="6">
        <f t="shared" si="36"/>
        <v>0</v>
      </c>
      <c r="M107" s="438">
        <f t="shared" si="36"/>
        <v>0</v>
      </c>
      <c r="N107" s="438">
        <f t="shared" si="36"/>
        <v>7625.5055019804349</v>
      </c>
      <c r="O107" s="438">
        <f t="shared" si="36"/>
        <v>112.21713671344055</v>
      </c>
      <c r="P107" s="438">
        <f t="shared" si="36"/>
        <v>13241.905164824351</v>
      </c>
    </row>
    <row r="108" spans="2:28" outlineLevel="1" x14ac:dyDescent="0.25">
      <c r="C108" t="s">
        <v>379</v>
      </c>
      <c r="D108" t="s">
        <v>18</v>
      </c>
      <c r="E108" t="s">
        <v>42</v>
      </c>
      <c r="F108" s="161" t="str">
        <f>D108&amp;E108</f>
        <v>SubtransmissionAugmentation</v>
      </c>
      <c r="K108" s="6"/>
      <c r="L108" s="6">
        <v>726.54015875954678</v>
      </c>
      <c r="M108" s="438">
        <v>736.56291792839147</v>
      </c>
      <c r="N108" s="438">
        <v>0</v>
      </c>
      <c r="O108" s="438"/>
      <c r="P108" s="438">
        <f>SUM(K108:O108)</f>
        <v>1463.1030766879383</v>
      </c>
    </row>
    <row r="109" spans="2:28" outlineLevel="1" x14ac:dyDescent="0.25">
      <c r="D109" t="s">
        <v>18</v>
      </c>
      <c r="E109" t="s">
        <v>44</v>
      </c>
      <c r="F109" s="161" t="str">
        <f>D109&amp;E109</f>
        <v>SubtransmissionReplacement</v>
      </c>
      <c r="K109" s="6"/>
      <c r="L109" s="38">
        <v>0</v>
      </c>
      <c r="M109" s="581">
        <v>0</v>
      </c>
      <c r="N109" s="581">
        <v>0</v>
      </c>
      <c r="O109" s="438"/>
      <c r="P109" s="438">
        <f t="shared" si="35"/>
        <v>0</v>
      </c>
    </row>
    <row r="110" spans="2:28" outlineLevel="1" x14ac:dyDescent="0.25">
      <c r="D110" t="s">
        <v>22</v>
      </c>
      <c r="E110" t="s">
        <v>42</v>
      </c>
      <c r="F110" s="161" t="str">
        <f>D110&amp;E110</f>
        <v>SCADA/Network controlAugmentation</v>
      </c>
      <c r="K110" s="6"/>
      <c r="L110" s="6">
        <v>270.76668074448452</v>
      </c>
      <c r="M110" s="438">
        <v>274.5019584154158</v>
      </c>
      <c r="N110" s="438">
        <v>0</v>
      </c>
      <c r="O110" s="438"/>
      <c r="P110" s="438">
        <f t="shared" si="35"/>
        <v>545.26863915990032</v>
      </c>
    </row>
    <row r="111" spans="2:28" outlineLevel="1" x14ac:dyDescent="0.25">
      <c r="D111" t="s">
        <v>22</v>
      </c>
      <c r="E111" t="s">
        <v>44</v>
      </c>
      <c r="F111" s="161" t="str">
        <f>D111&amp;E111</f>
        <v>SCADA/Network controlReplacement</v>
      </c>
      <c r="K111" s="6"/>
      <c r="L111" s="6">
        <v>0</v>
      </c>
      <c r="M111" s="438">
        <v>0</v>
      </c>
      <c r="N111" s="438">
        <v>0</v>
      </c>
      <c r="O111" s="438"/>
      <c r="P111" s="438">
        <f t="shared" si="35"/>
        <v>0</v>
      </c>
    </row>
    <row r="112" spans="2:28" outlineLevel="1" x14ac:dyDescent="0.25">
      <c r="D112" t="s">
        <v>211</v>
      </c>
      <c r="E112" t="s">
        <v>83</v>
      </c>
      <c r="F112" s="161" t="str">
        <f>D112&amp;E112</f>
        <v>LandNon-Network</v>
      </c>
      <c r="K112" s="39"/>
      <c r="L112" s="39">
        <v>119.32441891546398</v>
      </c>
      <c r="M112" s="580">
        <v>120.97052188628109</v>
      </c>
      <c r="N112" s="580">
        <v>0</v>
      </c>
      <c r="O112" s="580"/>
      <c r="P112" s="580">
        <f t="shared" si="35"/>
        <v>240.29494080174507</v>
      </c>
    </row>
    <row r="113" spans="3:40" outlineLevel="1" x14ac:dyDescent="0.25">
      <c r="F113" s="161"/>
      <c r="K113" s="6">
        <f t="shared" ref="K113:P113" si="37">SUM(K108:K112)</f>
        <v>0</v>
      </c>
      <c r="L113" s="6">
        <f t="shared" si="37"/>
        <v>1116.6312584194952</v>
      </c>
      <c r="M113" s="438">
        <f t="shared" si="37"/>
        <v>1132.0353982300885</v>
      </c>
      <c r="N113" s="438">
        <f t="shared" si="37"/>
        <v>0</v>
      </c>
      <c r="O113" s="438">
        <f t="shared" si="37"/>
        <v>0</v>
      </c>
      <c r="P113" s="438">
        <f t="shared" si="37"/>
        <v>2248.6666566495837</v>
      </c>
    </row>
    <row r="114" spans="3:40" outlineLevel="1" x14ac:dyDescent="0.25">
      <c r="C114" t="s">
        <v>387</v>
      </c>
      <c r="D114" t="s">
        <v>18</v>
      </c>
      <c r="E114" t="s">
        <v>42</v>
      </c>
      <c r="F114" s="161" t="str">
        <f>D114&amp;E114</f>
        <v>SubtransmissionAugmentation</v>
      </c>
      <c r="K114" s="6">
        <f t="shared" ref="K114:P114" si="38">K102+K108</f>
        <v>2797.979380648967</v>
      </c>
      <c r="L114" s="6">
        <f t="shared" si="38"/>
        <v>726.54015875954678</v>
      </c>
      <c r="M114" s="438">
        <f t="shared" si="38"/>
        <v>736.56291792839147</v>
      </c>
      <c r="N114" s="438">
        <f t="shared" si="38"/>
        <v>5710.5763016283181</v>
      </c>
      <c r="O114" s="438">
        <f t="shared" si="38"/>
        <v>107.33770973451325</v>
      </c>
      <c r="P114" s="438">
        <f t="shared" si="38"/>
        <v>10078.996468699735</v>
      </c>
    </row>
    <row r="115" spans="3:40" outlineLevel="1" x14ac:dyDescent="0.25">
      <c r="D115" t="s">
        <v>18</v>
      </c>
      <c r="E115" t="s">
        <v>44</v>
      </c>
      <c r="F115" s="161" t="str">
        <f>D115&amp;E115</f>
        <v>SubtransmissionReplacement</v>
      </c>
      <c r="K115" s="6">
        <f t="shared" ref="K115:P118" si="39">K103+K109</f>
        <v>0</v>
      </c>
      <c r="L115" s="6">
        <f t="shared" si="39"/>
        <v>0</v>
      </c>
      <c r="M115" s="438">
        <f t="shared" si="39"/>
        <v>0</v>
      </c>
      <c r="N115" s="438">
        <f t="shared" si="39"/>
        <v>0</v>
      </c>
      <c r="O115" s="438">
        <f t="shared" si="39"/>
        <v>0</v>
      </c>
      <c r="P115" s="438">
        <f t="shared" si="39"/>
        <v>0</v>
      </c>
    </row>
    <row r="116" spans="3:40" outlineLevel="1" x14ac:dyDescent="0.25">
      <c r="D116" t="s">
        <v>22</v>
      </c>
      <c r="E116" t="s">
        <v>42</v>
      </c>
      <c r="F116" s="161" t="str">
        <f>D116&amp;E116</f>
        <v>SCADA/Network controlAugmentation</v>
      </c>
      <c r="K116" s="6">
        <f t="shared" si="39"/>
        <v>2706.2031454815096</v>
      </c>
      <c r="L116" s="6">
        <f t="shared" si="39"/>
        <v>270.76668074448452</v>
      </c>
      <c r="M116" s="438">
        <f t="shared" si="39"/>
        <v>274.5019584154158</v>
      </c>
      <c r="N116" s="438">
        <f t="shared" si="39"/>
        <v>499.88495256450773</v>
      </c>
      <c r="O116" s="438">
        <f t="shared" si="39"/>
        <v>4.8794269789272953</v>
      </c>
      <c r="P116" s="438">
        <f t="shared" si="39"/>
        <v>3756.2361641848452</v>
      </c>
    </row>
    <row r="117" spans="3:40" outlineLevel="1" x14ac:dyDescent="0.25">
      <c r="D117" t="s">
        <v>22</v>
      </c>
      <c r="E117" t="s">
        <v>44</v>
      </c>
      <c r="F117" s="161" t="str">
        <f>D117&amp;E117</f>
        <v>SCADA/Network controlReplacement</v>
      </c>
      <c r="K117" s="6">
        <f t="shared" si="39"/>
        <v>0</v>
      </c>
      <c r="L117" s="6">
        <f t="shared" si="39"/>
        <v>0</v>
      </c>
      <c r="M117" s="438">
        <f t="shared" si="39"/>
        <v>0</v>
      </c>
      <c r="N117" s="438">
        <f t="shared" si="39"/>
        <v>0</v>
      </c>
      <c r="O117" s="438">
        <f t="shared" si="39"/>
        <v>0</v>
      </c>
      <c r="P117" s="438">
        <f t="shared" si="39"/>
        <v>0</v>
      </c>
      <c r="AN117" s="48" t="s">
        <v>14</v>
      </c>
    </row>
    <row r="118" spans="3:40" outlineLevel="1" x14ac:dyDescent="0.25">
      <c r="D118" t="s">
        <v>211</v>
      </c>
      <c r="E118" t="s">
        <v>83</v>
      </c>
      <c r="F118" s="161" t="str">
        <f>D118&amp;E118</f>
        <v>LandNon-Network</v>
      </c>
      <c r="K118" s="39">
        <f t="shared" si="39"/>
        <v>0</v>
      </c>
      <c r="L118" s="39">
        <f t="shared" si="39"/>
        <v>119.32441891546398</v>
      </c>
      <c r="M118" s="580">
        <f t="shared" si="39"/>
        <v>120.97052188628109</v>
      </c>
      <c r="N118" s="580">
        <f t="shared" si="39"/>
        <v>1415.0442477876099</v>
      </c>
      <c r="O118" s="580">
        <f t="shared" si="39"/>
        <v>0</v>
      </c>
      <c r="P118" s="580">
        <f t="shared" si="39"/>
        <v>1655.339188589355</v>
      </c>
    </row>
    <row r="119" spans="3:40" outlineLevel="1" x14ac:dyDescent="0.25">
      <c r="F119" s="161"/>
      <c r="K119" s="6">
        <f t="shared" ref="K119:P119" si="40">SUM(K114:K118)</f>
        <v>5504.1825261304766</v>
      </c>
      <c r="L119" s="6">
        <f t="shared" si="40"/>
        <v>1116.6312584194952</v>
      </c>
      <c r="M119" s="438">
        <f t="shared" si="40"/>
        <v>1132.0353982300885</v>
      </c>
      <c r="N119" s="438">
        <f t="shared" si="40"/>
        <v>7625.5055019804349</v>
      </c>
      <c r="O119" s="438">
        <f t="shared" si="40"/>
        <v>112.21713671344055</v>
      </c>
      <c r="P119" s="438">
        <f t="shared" si="40"/>
        <v>15490.571821473935</v>
      </c>
    </row>
    <row r="120" spans="3:40" outlineLevel="1" x14ac:dyDescent="0.25">
      <c r="F120" s="161"/>
      <c r="K120" s="5">
        <f t="shared" ref="K120:P120" si="41">K62-K119</f>
        <v>0</v>
      </c>
      <c r="L120" s="5">
        <f t="shared" si="41"/>
        <v>0</v>
      </c>
      <c r="M120" s="582">
        <f t="shared" si="41"/>
        <v>0</v>
      </c>
      <c r="N120" s="582">
        <f t="shared" si="41"/>
        <v>0</v>
      </c>
      <c r="O120" s="582">
        <f t="shared" si="41"/>
        <v>0</v>
      </c>
      <c r="P120" s="582">
        <f t="shared" si="41"/>
        <v>0</v>
      </c>
    </row>
    <row r="121" spans="3:40" outlineLevel="1" x14ac:dyDescent="0.25">
      <c r="C121" t="s">
        <v>17</v>
      </c>
      <c r="D121" t="s">
        <v>19</v>
      </c>
      <c r="E121" t="s">
        <v>42</v>
      </c>
      <c r="F121" s="161" t="str">
        <f>D121&amp;E121</f>
        <v>Distribution system assetsAugmentation</v>
      </c>
      <c r="K121" s="6">
        <v>362.12506083556286</v>
      </c>
      <c r="L121" s="6">
        <v>141.80336966954593</v>
      </c>
      <c r="M121" s="438">
        <v>98.136463072131306</v>
      </c>
      <c r="N121" s="438">
        <v>762.54107641781923</v>
      </c>
      <c r="O121" s="438">
        <v>57.451511300123101</v>
      </c>
      <c r="P121" s="438">
        <f t="shared" si="35"/>
        <v>1422.0574812951822</v>
      </c>
    </row>
    <row r="122" spans="3:40" outlineLevel="1" x14ac:dyDescent="0.25">
      <c r="D122" t="s">
        <v>19</v>
      </c>
      <c r="E122" t="s">
        <v>44</v>
      </c>
      <c r="F122" s="161" t="str">
        <f>D122&amp;E122</f>
        <v>Distribution system assetsReplacement</v>
      </c>
      <c r="K122" s="39">
        <v>0</v>
      </c>
      <c r="L122" s="39">
        <v>0.31454421897963658</v>
      </c>
      <c r="M122" s="580">
        <v>0</v>
      </c>
      <c r="N122" s="580">
        <v>11.567994009302323</v>
      </c>
      <c r="O122" s="580">
        <v>0</v>
      </c>
      <c r="P122" s="580">
        <f t="shared" si="35"/>
        <v>11.882538228281959</v>
      </c>
    </row>
    <row r="123" spans="3:40" outlineLevel="1" x14ac:dyDescent="0.25">
      <c r="K123" s="14">
        <f t="shared" ref="K123:P123" si="42">SUM(K121:K122)</f>
        <v>362.12506083556286</v>
      </c>
      <c r="L123" s="14">
        <f t="shared" si="42"/>
        <v>142.11791388852558</v>
      </c>
      <c r="M123" s="571">
        <f t="shared" si="42"/>
        <v>98.136463072131306</v>
      </c>
      <c r="N123" s="571">
        <f t="shared" si="42"/>
        <v>774.10907042712154</v>
      </c>
      <c r="O123" s="571">
        <f t="shared" si="42"/>
        <v>57.451511300123101</v>
      </c>
      <c r="P123" s="571">
        <f t="shared" si="42"/>
        <v>1433.9400195234641</v>
      </c>
    </row>
    <row r="124" spans="3:40" outlineLevel="1" x14ac:dyDescent="0.25">
      <c r="K124" s="19">
        <f t="shared" ref="K124:P124" si="43">K123-K77</f>
        <v>0</v>
      </c>
      <c r="L124" s="19">
        <f t="shared" si="43"/>
        <v>0</v>
      </c>
      <c r="M124" s="277">
        <f t="shared" si="43"/>
        <v>0</v>
      </c>
      <c r="N124" s="277">
        <f t="shared" si="43"/>
        <v>0</v>
      </c>
      <c r="O124" s="277">
        <f t="shared" si="43"/>
        <v>0</v>
      </c>
      <c r="P124" s="277">
        <f t="shared" si="43"/>
        <v>0</v>
      </c>
    </row>
  </sheetData>
  <mergeCells count="3">
    <mergeCell ref="G3:I3"/>
    <mergeCell ref="K3:P3"/>
    <mergeCell ref="R3:X3"/>
  </mergeCells>
  <pageMargins left="0.25" right="0.25" top="0.75" bottom="0.75" header="0.3" footer="0.3"/>
  <pageSetup paperSize="9" scale="65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AI122"/>
  <sheetViews>
    <sheetView zoomScale="85" zoomScaleNormal="85" workbookViewId="0">
      <pane xSplit="3" ySplit="4" topLeftCell="G5" activePane="bottomRight" state="frozen"/>
      <selection activeCell="G18" sqref="G18"/>
      <selection pane="topRight" activeCell="G18" sqref="G18"/>
      <selection pane="bottomLeft" activeCell="G18" sqref="G18"/>
      <selection pane="bottomRight" activeCell="AI66" sqref="AI66:AI68"/>
    </sheetView>
  </sheetViews>
  <sheetFormatPr defaultRowHeight="15" outlineLevelRow="1" outlineLevelCol="1" x14ac:dyDescent="0.25"/>
  <cols>
    <col min="1" max="1" width="2.28515625" customWidth="1"/>
    <col min="2" max="2" width="3" customWidth="1"/>
    <col min="3" max="3" width="52" customWidth="1"/>
    <col min="4" max="4" width="24.42578125" hidden="1" customWidth="1" outlineLevel="1"/>
    <col min="5" max="6" width="15.28515625" hidden="1" customWidth="1" outlineLevel="1"/>
    <col min="7" max="7" width="9.28515625" style="471" customWidth="1" collapsed="1"/>
    <col min="8" max="8" width="8.7109375" customWidth="1"/>
    <col min="9" max="9" width="10.7109375" customWidth="1"/>
    <col min="10" max="10" width="2.28515625" customWidth="1"/>
    <col min="11" max="11" width="9.7109375" bestFit="1" customWidth="1"/>
    <col min="12" max="12" width="9.5703125" bestFit="1" customWidth="1"/>
    <col min="13" max="13" width="9.42578125" customWidth="1"/>
    <col min="14" max="14" width="12.28515625" customWidth="1"/>
    <col min="15" max="15" width="9.28515625" bestFit="1" customWidth="1"/>
    <col min="16" max="16" width="10.28515625" customWidth="1"/>
    <col min="17" max="17" width="9.7109375" bestFit="1" customWidth="1"/>
    <col min="18" max="18" width="9" bestFit="1" customWidth="1"/>
    <col min="19" max="19" width="9.7109375" customWidth="1"/>
    <col min="20" max="20" width="9.7109375" bestFit="1" customWidth="1"/>
    <col min="21" max="21" width="9" bestFit="1" customWidth="1"/>
    <col min="22" max="22" width="9.7109375" bestFit="1" customWidth="1"/>
    <col min="26" max="35" width="8.85546875" customWidth="1" outlineLevel="1"/>
    <col min="36" max="36" width="8.85546875"/>
  </cols>
  <sheetData>
    <row r="1" spans="2:33" x14ac:dyDescent="0.25">
      <c r="N1" s="745" t="s">
        <v>432</v>
      </c>
    </row>
    <row r="2" spans="2:33" x14ac:dyDescent="0.25">
      <c r="B2" s="22" t="str">
        <f>STN_3&amp;" Volumes &amp; Unit Rates"</f>
        <v>LLG Volumes &amp; Unit Rates</v>
      </c>
      <c r="R2" s="166"/>
      <c r="S2" s="166"/>
      <c r="T2" s="166"/>
      <c r="U2" s="166"/>
      <c r="V2" s="166"/>
      <c r="W2" s="166"/>
      <c r="X2" s="166"/>
    </row>
    <row r="3" spans="2:33" x14ac:dyDescent="0.25">
      <c r="B3" t="str">
        <f>STN_3</f>
        <v>LLG</v>
      </c>
      <c r="G3" s="771" t="s">
        <v>151</v>
      </c>
      <c r="H3" s="772"/>
      <c r="I3" s="773"/>
      <c r="K3" s="771" t="s">
        <v>604</v>
      </c>
      <c r="L3" s="772"/>
      <c r="M3" s="772"/>
      <c r="N3" s="772"/>
      <c r="O3" s="772"/>
      <c r="P3" s="773"/>
      <c r="R3" s="771" t="s">
        <v>363</v>
      </c>
      <c r="S3" s="772"/>
      <c r="T3" s="772"/>
      <c r="U3" s="772"/>
      <c r="V3" s="772"/>
      <c r="W3" s="772"/>
      <c r="X3" s="773"/>
    </row>
    <row r="4" spans="2:33" ht="45" customHeight="1" x14ac:dyDescent="0.25">
      <c r="D4" t="s">
        <v>373</v>
      </c>
      <c r="E4" t="s">
        <v>101</v>
      </c>
      <c r="G4" s="541" t="s">
        <v>605</v>
      </c>
      <c r="H4" s="218" t="s">
        <v>281</v>
      </c>
      <c r="I4" s="208" t="s">
        <v>309</v>
      </c>
      <c r="K4" s="208" t="s">
        <v>151</v>
      </c>
      <c r="L4" s="208" t="s">
        <v>306</v>
      </c>
      <c r="M4" s="282" t="s">
        <v>152</v>
      </c>
      <c r="N4" s="209" t="s">
        <v>153</v>
      </c>
      <c r="O4" s="208" t="s">
        <v>77</v>
      </c>
      <c r="P4" s="208" t="s">
        <v>307</v>
      </c>
      <c r="Q4" s="254" t="s">
        <v>130</v>
      </c>
      <c r="R4" s="284" t="s">
        <v>301</v>
      </c>
      <c r="S4" s="284" t="s">
        <v>305</v>
      </c>
      <c r="T4" s="284" t="s">
        <v>272</v>
      </c>
      <c r="U4" s="284" t="s">
        <v>302</v>
      </c>
      <c r="V4" s="284" t="s">
        <v>303</v>
      </c>
      <c r="W4" s="284" t="s">
        <v>304</v>
      </c>
      <c r="X4" s="284" t="s">
        <v>357</v>
      </c>
      <c r="Y4" s="435" t="s">
        <v>471</v>
      </c>
    </row>
    <row r="5" spans="2:33" x14ac:dyDescent="0.25">
      <c r="B5" s="236" t="s">
        <v>330</v>
      </c>
      <c r="C5" s="279"/>
      <c r="D5" s="279"/>
      <c r="E5" s="279"/>
      <c r="F5" s="279"/>
      <c r="G5" s="541"/>
      <c r="H5" s="280"/>
      <c r="I5" s="281"/>
      <c r="J5" s="279"/>
      <c r="K5" s="281"/>
      <c r="L5" s="281"/>
      <c r="M5" s="281"/>
      <c r="N5" s="282"/>
      <c r="O5" s="281"/>
      <c r="P5" s="281"/>
      <c r="R5" s="308">
        <f>Lab_Rates!$C$6*Escalators!C7*(1+Escalators!C17)</f>
        <v>158.45839054425579</v>
      </c>
      <c r="S5" s="308">
        <f>Lab_Rates!$C$7*Escalators!C7*(1+Escalators!C17)</f>
        <v>148.03349642950209</v>
      </c>
      <c r="T5" s="308">
        <f>Lab_Rates!$C$8*Escalators!C7*(1+Escalators!C17)</f>
        <v>172.01075289343555</v>
      </c>
      <c r="U5" s="308">
        <f>Lab_Rates!$C$9*Escalators!C7*(1+Escalators!C17)</f>
        <v>224.1352234672039</v>
      </c>
      <c r="V5" s="308">
        <f>Lab_Rates!$C$6*Escalators!C7*(1+Escalators!C17)</f>
        <v>158.45839054425579</v>
      </c>
      <c r="W5" s="308">
        <f>Lab_Rates!$C$10*Escalators!C7*(1+Escalators!C17)</f>
        <v>158.45839054425579</v>
      </c>
      <c r="X5" s="308">
        <f>Lab_Rates!$C$5*Escalators!C7*(1+Escalators!C17)</f>
        <v>130.31117643442087</v>
      </c>
    </row>
    <row r="6" spans="2:33" x14ac:dyDescent="0.25">
      <c r="B6" s="239"/>
      <c r="C6" s="161"/>
      <c r="D6" s="161"/>
      <c r="E6" s="161"/>
      <c r="F6" s="161"/>
      <c r="G6" s="547"/>
      <c r="H6" s="219"/>
      <c r="I6" s="252"/>
      <c r="K6" s="259"/>
      <c r="L6" s="259"/>
      <c r="M6" s="259"/>
      <c r="N6" s="210"/>
      <c r="O6" s="259"/>
      <c r="P6" s="211"/>
      <c r="R6" s="309"/>
      <c r="S6" s="309"/>
      <c r="T6" s="309"/>
      <c r="U6" s="309"/>
      <c r="V6" s="309"/>
      <c r="W6" s="309"/>
      <c r="X6" s="309"/>
    </row>
    <row r="7" spans="2:33" x14ac:dyDescent="0.25">
      <c r="B7" s="220" t="s">
        <v>331</v>
      </c>
      <c r="D7" t="s">
        <v>376</v>
      </c>
      <c r="E7" t="s">
        <v>376</v>
      </c>
      <c r="G7" s="549"/>
      <c r="H7" s="297"/>
      <c r="I7" s="298"/>
      <c r="K7" s="292"/>
      <c r="L7" s="259">
        <f>SUMPRODUCT(R$5:X$5,R7:X7)/Thousands</f>
        <v>0</v>
      </c>
      <c r="M7" s="525">
        <v>1132.0353982300883</v>
      </c>
      <c r="N7" s="517"/>
      <c r="O7" s="292"/>
      <c r="P7" s="211">
        <f>SUM(K7:O7)</f>
        <v>1132.0353982300883</v>
      </c>
      <c r="Q7" s="19"/>
      <c r="R7" s="310"/>
      <c r="S7" s="311"/>
      <c r="T7" s="311"/>
      <c r="U7" s="311"/>
      <c r="V7" s="311"/>
      <c r="W7" s="311"/>
      <c r="X7" s="311"/>
    </row>
    <row r="8" spans="2:33" x14ac:dyDescent="0.25">
      <c r="B8" s="222"/>
      <c r="C8" s="43"/>
      <c r="D8" s="43"/>
      <c r="E8" s="43"/>
      <c r="F8" s="43"/>
      <c r="G8" s="583"/>
      <c r="H8" s="272"/>
      <c r="I8" s="251"/>
      <c r="K8" s="229"/>
      <c r="L8" s="229"/>
      <c r="M8" s="293"/>
      <c r="N8" s="293"/>
      <c r="O8" s="293"/>
      <c r="P8" s="230"/>
      <c r="R8" s="309"/>
      <c r="S8" s="309"/>
      <c r="T8" s="309"/>
      <c r="U8" s="309"/>
      <c r="V8" s="309"/>
      <c r="W8" s="309"/>
      <c r="X8" s="309"/>
    </row>
    <row r="9" spans="2:33" x14ac:dyDescent="0.25">
      <c r="B9" s="225" t="s">
        <v>285</v>
      </c>
      <c r="C9" s="226"/>
      <c r="D9" s="279"/>
      <c r="E9" s="279"/>
      <c r="F9" s="279"/>
      <c r="G9" s="584"/>
      <c r="H9" s="273"/>
      <c r="I9" s="208"/>
      <c r="K9" s="227"/>
      <c r="L9" s="227"/>
      <c r="M9" s="294"/>
      <c r="N9" s="294"/>
      <c r="O9" s="294"/>
      <c r="P9" s="231"/>
      <c r="R9" s="309"/>
      <c r="S9" s="309"/>
      <c r="T9" s="309"/>
      <c r="U9" s="309"/>
      <c r="V9" s="309"/>
      <c r="W9" s="309"/>
      <c r="X9" s="309"/>
    </row>
    <row r="10" spans="2:33" x14ac:dyDescent="0.25">
      <c r="B10" s="220"/>
      <c r="C10" s="161" t="s">
        <v>286</v>
      </c>
      <c r="D10" s="161" t="s">
        <v>376</v>
      </c>
      <c r="E10" s="161" t="s">
        <v>376</v>
      </c>
      <c r="F10" s="161"/>
      <c r="G10" s="549"/>
      <c r="H10" s="297"/>
      <c r="I10" s="298"/>
      <c r="K10" s="291"/>
      <c r="L10" s="213">
        <f>SUMPRODUCT(R$5:X$5,R10:X10)/Thousands</f>
        <v>74.575522539301843</v>
      </c>
      <c r="M10" s="290"/>
      <c r="N10" s="290">
        <v>0</v>
      </c>
      <c r="O10" s="291"/>
      <c r="P10" s="211">
        <f>SUM(K10:O10)</f>
        <v>74.575522539301843</v>
      </c>
      <c r="Q10" s="19"/>
      <c r="R10" s="310">
        <v>412.05263157894734</v>
      </c>
      <c r="S10" s="310">
        <v>32</v>
      </c>
      <c r="T10" s="310">
        <v>16</v>
      </c>
      <c r="U10" s="310">
        <v>8</v>
      </c>
      <c r="V10" s="310"/>
      <c r="W10" s="310"/>
      <c r="X10" s="310"/>
      <c r="Y10" s="14">
        <f>SUM(R10:X10)</f>
        <v>468.05263157894734</v>
      </c>
      <c r="AA10" s="15"/>
      <c r="AB10" s="15"/>
      <c r="AC10" s="15"/>
      <c r="AD10" s="15"/>
      <c r="AE10" s="15"/>
      <c r="AF10" s="15"/>
      <c r="AG10" s="15"/>
    </row>
    <row r="11" spans="2:33" x14ac:dyDescent="0.25">
      <c r="B11" s="220"/>
      <c r="C11" s="161" t="s">
        <v>287</v>
      </c>
      <c r="D11" s="161" t="s">
        <v>376</v>
      </c>
      <c r="E11" s="161" t="s">
        <v>376</v>
      </c>
      <c r="F11" s="161"/>
      <c r="G11" s="549"/>
      <c r="H11" s="297"/>
      <c r="I11" s="298"/>
      <c r="K11" s="291"/>
      <c r="L11" s="213">
        <f>SUMPRODUCT(R$5:X$5,R11:X11)/Thousands</f>
        <v>463.16970560321374</v>
      </c>
      <c r="M11" s="290"/>
      <c r="N11" s="517"/>
      <c r="O11" s="291"/>
      <c r="P11" s="211">
        <f>SUM(K11:O11)</f>
        <v>463.16970560321374</v>
      </c>
      <c r="Q11" s="19"/>
      <c r="R11" s="310">
        <v>252.31578947368422</v>
      </c>
      <c r="S11" s="310"/>
      <c r="T11" s="310">
        <v>811.5151515151515</v>
      </c>
      <c r="U11" s="310">
        <v>96</v>
      </c>
      <c r="V11" s="310">
        <v>501.94736842105266</v>
      </c>
      <c r="W11" s="310">
        <v>1152</v>
      </c>
      <c r="X11" s="310"/>
      <c r="Y11" s="14">
        <f>SUM(R11:X11)</f>
        <v>2813.7783094098886</v>
      </c>
      <c r="AA11" s="15"/>
      <c r="AB11" s="15"/>
      <c r="AC11" s="15"/>
      <c r="AD11" s="15"/>
      <c r="AE11" s="15"/>
      <c r="AF11" s="15"/>
      <c r="AG11" s="15"/>
    </row>
    <row r="12" spans="2:33" x14ac:dyDescent="0.25">
      <c r="B12" s="220"/>
      <c r="C12" s="161" t="s">
        <v>320</v>
      </c>
      <c r="D12" s="161" t="s">
        <v>376</v>
      </c>
      <c r="E12" s="161" t="s">
        <v>376</v>
      </c>
      <c r="F12" s="161"/>
      <c r="G12" s="549"/>
      <c r="H12" s="297"/>
      <c r="I12" s="298"/>
      <c r="K12" s="291"/>
      <c r="L12" s="213">
        <f>SUMPRODUCT(R$5:X$5,R12:X12)/Thousands</f>
        <v>326.50768367408494</v>
      </c>
      <c r="M12" s="290"/>
      <c r="N12" s="290">
        <v>0</v>
      </c>
      <c r="O12" s="291"/>
      <c r="P12" s="211">
        <f>SUM(K12:O12)</f>
        <v>326.50768367408494</v>
      </c>
      <c r="Q12" s="19"/>
      <c r="R12" s="310"/>
      <c r="S12" s="310"/>
      <c r="T12" s="310">
        <v>246.76363636363635</v>
      </c>
      <c r="U12" s="310"/>
      <c r="V12" s="310">
        <v>535.73684210526312</v>
      </c>
      <c r="W12" s="310">
        <v>164.84210526315789</v>
      </c>
      <c r="X12" s="310">
        <v>1327.9680000000001</v>
      </c>
      <c r="Y12" s="14">
        <f>SUM(R12:X12)</f>
        <v>2275.3105837320572</v>
      </c>
      <c r="AA12" s="15"/>
      <c r="AB12" s="15"/>
      <c r="AC12" s="15"/>
      <c r="AD12" s="15"/>
      <c r="AE12" s="15"/>
      <c r="AF12" s="15"/>
      <c r="AG12" s="15"/>
    </row>
    <row r="13" spans="2:33" x14ac:dyDescent="0.25">
      <c r="B13" s="220"/>
      <c r="C13" s="161" t="s">
        <v>288</v>
      </c>
      <c r="D13" s="161" t="s">
        <v>376</v>
      </c>
      <c r="E13" s="161" t="s">
        <v>376</v>
      </c>
      <c r="F13" s="161"/>
      <c r="G13" s="549"/>
      <c r="H13" s="297"/>
      <c r="I13" s="298"/>
      <c r="K13" s="291"/>
      <c r="L13" s="213">
        <f>SUMPRODUCT(R$5:X$5,R13:X13)/Thousands</f>
        <v>130.31117643442087</v>
      </c>
      <c r="M13" s="290"/>
      <c r="N13" s="290">
        <v>0</v>
      </c>
      <c r="O13" s="291"/>
      <c r="P13" s="211">
        <f>SUM(K13:O13)</f>
        <v>130.31117643442087</v>
      </c>
      <c r="Q13" s="19"/>
      <c r="R13" s="310">
        <v>0</v>
      </c>
      <c r="S13" s="310">
        <v>0</v>
      </c>
      <c r="T13" s="310">
        <v>757.57575757575762</v>
      </c>
      <c r="U13" s="310">
        <v>0</v>
      </c>
      <c r="V13" s="310">
        <v>0</v>
      </c>
      <c r="W13" s="310">
        <v>0</v>
      </c>
      <c r="X13" s="310">
        <v>0</v>
      </c>
      <c r="Y13" s="14">
        <f>SUM(R13:X13)</f>
        <v>757.57575757575762</v>
      </c>
      <c r="AA13" s="15"/>
      <c r="AB13" s="15"/>
      <c r="AC13" s="15"/>
      <c r="AD13" s="15"/>
      <c r="AE13" s="15"/>
      <c r="AF13" s="15"/>
      <c r="AG13" s="15"/>
    </row>
    <row r="14" spans="2:33" x14ac:dyDescent="0.25">
      <c r="B14" s="222"/>
      <c r="C14" s="43"/>
      <c r="D14" s="43"/>
      <c r="E14" s="43"/>
      <c r="F14" s="43"/>
      <c r="G14" s="583"/>
      <c r="H14" s="228"/>
      <c r="I14" s="251"/>
      <c r="K14" s="232"/>
      <c r="L14" s="233"/>
      <c r="M14" s="233"/>
      <c r="N14" s="234"/>
      <c r="O14" s="232"/>
      <c r="P14" s="235"/>
      <c r="R14" s="309"/>
      <c r="S14" s="309"/>
      <c r="T14" s="309"/>
      <c r="U14" s="309"/>
      <c r="V14" s="309"/>
      <c r="W14" s="309"/>
      <c r="X14" s="309"/>
    </row>
    <row r="15" spans="2:33" x14ac:dyDescent="0.25">
      <c r="B15" s="225" t="s">
        <v>277</v>
      </c>
      <c r="C15" s="226"/>
      <c r="D15" s="279"/>
      <c r="E15" s="279"/>
      <c r="F15" s="279"/>
      <c r="G15" s="585"/>
      <c r="H15" s="236"/>
      <c r="I15" s="231"/>
      <c r="K15" s="237"/>
      <c r="L15" s="237"/>
      <c r="M15" s="331"/>
      <c r="N15" s="237"/>
      <c r="O15" s="237"/>
      <c r="P15" s="238"/>
      <c r="Q15" s="11"/>
      <c r="R15" s="312"/>
      <c r="S15" s="309"/>
      <c r="T15" s="309"/>
      <c r="U15" s="309"/>
      <c r="V15" s="309"/>
      <c r="W15" s="309"/>
      <c r="X15" s="309"/>
      <c r="AA15" s="28"/>
      <c r="AB15" s="28"/>
      <c r="AC15" s="28"/>
      <c r="AD15" s="28"/>
      <c r="AE15" s="28"/>
      <c r="AF15" s="28"/>
      <c r="AG15" s="28"/>
    </row>
    <row r="16" spans="2:33" x14ac:dyDescent="0.25">
      <c r="B16" s="239" t="s">
        <v>279</v>
      </c>
      <c r="C16" s="224"/>
      <c r="D16" s="161"/>
      <c r="E16" s="161"/>
      <c r="F16" s="161"/>
      <c r="G16" s="570"/>
      <c r="H16" s="220"/>
      <c r="I16" s="212"/>
      <c r="J16" s="147"/>
      <c r="K16" s="213"/>
      <c r="L16" s="213"/>
      <c r="M16" s="213"/>
      <c r="N16" s="213"/>
      <c r="O16" s="213"/>
      <c r="P16" s="212"/>
      <c r="R16" s="309"/>
      <c r="S16" s="309"/>
      <c r="T16" s="309"/>
      <c r="U16" s="309"/>
      <c r="V16" s="309"/>
      <c r="W16" s="309"/>
      <c r="X16" s="309"/>
      <c r="AA16" s="28"/>
      <c r="AB16" s="28"/>
      <c r="AC16" s="28"/>
      <c r="AD16" s="28"/>
      <c r="AE16" s="28"/>
      <c r="AF16" s="28"/>
      <c r="AG16" s="28"/>
    </row>
    <row r="17" spans="2:33" x14ac:dyDescent="0.25">
      <c r="B17" s="220"/>
      <c r="C17" s="224" t="s">
        <v>322</v>
      </c>
      <c r="D17" s="161" t="str">
        <f>INDEX(Unit_Rates!$C$7:$K$59,MATCH($C17,Unit_Rates!$C$7:$C$59,0),5)</f>
        <v>Subtransmission</v>
      </c>
      <c r="E17" s="161" t="str">
        <f>INDEX(Unit_Rates!$C$7:$K$59,MATCH($C17,Unit_Rates!$C$7:$C$59,0),6)</f>
        <v>Augmentation</v>
      </c>
      <c r="F17" s="161" t="str">
        <f>D17&amp;E17</f>
        <v>SubtransmissionAugmentation</v>
      </c>
      <c r="G17" s="271">
        <f>INDEX(Unit_Rates!$C$7:$K$59,MATCH($C17,Unit_Rates!$C$7:$C$59,0),7)</f>
        <v>68.506065486725646</v>
      </c>
      <c r="H17" s="518">
        <v>2</v>
      </c>
      <c r="I17" s="252" t="s">
        <v>308</v>
      </c>
      <c r="J17" s="147"/>
      <c r="K17" s="214">
        <f>G17*$H17</f>
        <v>137.01213097345129</v>
      </c>
      <c r="L17" s="286">
        <f t="shared" ref="L17:L42" si="0">SUMPRODUCT(R$5:X$5,R17:X17)/Thousands</f>
        <v>0</v>
      </c>
      <c r="M17" s="332"/>
      <c r="N17" s="751"/>
      <c r="O17" s="754"/>
      <c r="P17" s="750"/>
      <c r="Q17" s="317"/>
      <c r="R17" s="310">
        <v>0</v>
      </c>
      <c r="S17" s="310">
        <v>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14">
        <f t="shared" ref="Y17:Y40" si="1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25">
      <c r="B18" s="220"/>
      <c r="C18" s="224" t="s">
        <v>345</v>
      </c>
      <c r="D18" s="161" t="str">
        <f>INDEX(Unit_Rates!$C$7:$K$59,MATCH($C18,Unit_Rates!$C$7:$C$59,0),5)</f>
        <v>Subtransmission</v>
      </c>
      <c r="E18" s="161" t="str">
        <f>INDEX(Unit_Rates!$C$7:$K$59,MATCH($C18,Unit_Rates!$C$7:$C$59,0),6)</f>
        <v>Augmentation</v>
      </c>
      <c r="F18" s="161" t="str">
        <f t="shared" ref="F18:F42" si="2">D18&amp;E18</f>
        <v>SubtransmissionAugmentation</v>
      </c>
      <c r="G18" s="271">
        <f>INDEX(Unit_Rates!$C$7:$K$59,MATCH($C18,Unit_Rates!$C$7:$C$59,0),7)</f>
        <v>106.43774159292033</v>
      </c>
      <c r="H18" s="518"/>
      <c r="I18" s="252" t="s">
        <v>308</v>
      </c>
      <c r="J18" s="147"/>
      <c r="K18" s="214">
        <f>G18*$H18</f>
        <v>0</v>
      </c>
      <c r="L18" s="286">
        <f t="shared" si="0"/>
        <v>0</v>
      </c>
      <c r="M18" s="332"/>
      <c r="N18" s="751"/>
      <c r="O18" s="754"/>
      <c r="P18" s="750"/>
      <c r="Q18" s="317"/>
      <c r="R18" s="310">
        <v>0</v>
      </c>
      <c r="S18" s="310">
        <v>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14">
        <f t="shared" si="1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25">
      <c r="B19" s="220"/>
      <c r="C19" s="224" t="s">
        <v>486</v>
      </c>
      <c r="D19" s="161" t="str">
        <f>INDEX(Unit_Rates!$C$7:$K$59,MATCH($C19,Unit_Rates!$C$7:$C$59,0),5)</f>
        <v>Subtransmission</v>
      </c>
      <c r="E19" s="161" t="str">
        <f>INDEX(Unit_Rates!$C$7:$K$59,MATCH($C19,Unit_Rates!$C$7:$C$59,0),6)</f>
        <v>Augmentation</v>
      </c>
      <c r="F19" s="161" t="str">
        <f t="shared" si="2"/>
        <v>SubtransmissionAugmentation</v>
      </c>
      <c r="G19" s="271">
        <f>INDEX(Unit_Rates!$C$7:$K$59,MATCH($C19,Unit_Rates!$C$7:$C$59,0),7)</f>
        <v>37.069442477876102</v>
      </c>
      <c r="H19" s="518">
        <v>1</v>
      </c>
      <c r="I19" s="252" t="s">
        <v>308</v>
      </c>
      <c r="J19" s="147"/>
      <c r="K19" s="214">
        <f>G19*H19</f>
        <v>37.069442477876102</v>
      </c>
      <c r="L19" s="286">
        <f t="shared" si="0"/>
        <v>0</v>
      </c>
      <c r="M19" s="332"/>
      <c r="N19" s="751"/>
      <c r="O19" s="754"/>
      <c r="P19" s="750"/>
      <c r="Q19" s="317"/>
      <c r="R19" s="310">
        <v>0</v>
      </c>
      <c r="S19" s="310">
        <v>0</v>
      </c>
      <c r="T19" s="310">
        <v>0</v>
      </c>
      <c r="U19" s="310">
        <v>0</v>
      </c>
      <c r="V19" s="310">
        <v>0</v>
      </c>
      <c r="W19" s="310">
        <v>0</v>
      </c>
      <c r="X19" s="310">
        <v>0</v>
      </c>
      <c r="Y19" s="14">
        <f t="shared" si="1"/>
        <v>0</v>
      </c>
    </row>
    <row r="20" spans="2:33" x14ac:dyDescent="0.25">
      <c r="B20" s="220"/>
      <c r="C20" s="224" t="s">
        <v>487</v>
      </c>
      <c r="D20" s="161" t="str">
        <f>INDEX(Unit_Rates!$C$7:$K$59,MATCH($C20,Unit_Rates!$C$7:$C$59,0),5)</f>
        <v>Subtransmission</v>
      </c>
      <c r="E20" s="161" t="str">
        <f>INDEX(Unit_Rates!$C$7:$K$59,MATCH($C20,Unit_Rates!$C$7:$C$59,0),6)</f>
        <v>Augmentation</v>
      </c>
      <c r="F20" s="161" t="str">
        <f t="shared" si="2"/>
        <v>SubtransmissionAugmentation</v>
      </c>
      <c r="G20" s="271">
        <f>INDEX(Unit_Rates!$C$7:$K$59,MATCH($C20,Unit_Rates!$C$7:$C$59,0),7)</f>
        <v>40.541017699115038</v>
      </c>
      <c r="H20" s="518">
        <v>1</v>
      </c>
      <c r="I20" s="252" t="s">
        <v>308</v>
      </c>
      <c r="J20" s="147"/>
      <c r="K20" s="214">
        <f>G20*H20</f>
        <v>40.541017699115038</v>
      </c>
      <c r="L20" s="286">
        <f t="shared" si="0"/>
        <v>0</v>
      </c>
      <c r="M20" s="332"/>
      <c r="N20" s="751"/>
      <c r="O20" s="754"/>
      <c r="P20" s="750"/>
      <c r="Q20" s="317"/>
      <c r="R20" s="310">
        <v>0</v>
      </c>
      <c r="S20" s="310">
        <v>0</v>
      </c>
      <c r="T20" s="310">
        <v>0</v>
      </c>
      <c r="U20" s="310">
        <v>0</v>
      </c>
      <c r="V20" s="310">
        <v>0</v>
      </c>
      <c r="W20" s="310">
        <v>0</v>
      </c>
      <c r="X20" s="310">
        <v>0</v>
      </c>
      <c r="Y20" s="14">
        <f t="shared" si="1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25">
      <c r="B21" s="220"/>
      <c r="C21" s="224" t="s">
        <v>282</v>
      </c>
      <c r="D21" s="161" t="str">
        <f>INDEX(Unit_Rates!$C$7:$K$59,MATCH($C21,Unit_Rates!$C$7:$C$59,0),5)</f>
        <v>SCADA/Network control</v>
      </c>
      <c r="E21" s="161" t="str">
        <f>INDEX(Unit_Rates!$C$7:$K$59,MATCH($C21,Unit_Rates!$C$7:$C$59,0),6)</f>
        <v>Augmentation</v>
      </c>
      <c r="F21" s="161" t="str">
        <f t="shared" si="2"/>
        <v>SCADA/Network controlAugmentation</v>
      </c>
      <c r="G21" s="271">
        <f>INDEX(Unit_Rates!$C$7:$K$59,MATCH($C21,Unit_Rates!$C$7:$C$59,0),7)</f>
        <v>1092.6971681415926</v>
      </c>
      <c r="H21" s="518">
        <v>1</v>
      </c>
      <c r="I21" s="252" t="s">
        <v>308</v>
      </c>
      <c r="J21" s="147"/>
      <c r="K21" s="214">
        <f>G21*H21</f>
        <v>1092.6971681415926</v>
      </c>
      <c r="L21" s="286">
        <f t="shared" si="0"/>
        <v>0</v>
      </c>
      <c r="M21" s="332"/>
      <c r="N21" s="751"/>
      <c r="O21" s="754"/>
      <c r="P21" s="750"/>
      <c r="Q21" s="317"/>
      <c r="R21" s="310">
        <v>0</v>
      </c>
      <c r="S21" s="310">
        <v>0</v>
      </c>
      <c r="T21" s="310">
        <v>0</v>
      </c>
      <c r="U21" s="310">
        <v>0</v>
      </c>
      <c r="V21" s="310">
        <v>0</v>
      </c>
      <c r="W21" s="310">
        <v>0</v>
      </c>
      <c r="X21" s="310">
        <v>0</v>
      </c>
      <c r="Y21" s="14">
        <f t="shared" si="1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25">
      <c r="B22" s="220"/>
      <c r="C22" s="224" t="s">
        <v>324</v>
      </c>
      <c r="D22" s="161" t="str">
        <f>INDEX(Unit_Rates!$C$7:$K$59,MATCH($C22,Unit_Rates!$C$7:$C$59,0),5)</f>
        <v>Subtransmission</v>
      </c>
      <c r="E22" s="161" t="str">
        <f>INDEX(Unit_Rates!$C$7:$K$59,MATCH($C22,Unit_Rates!$C$7:$C$59,0),6)</f>
        <v>Augmentation</v>
      </c>
      <c r="F22" s="161" t="str">
        <f t="shared" si="2"/>
        <v>SubtransmissionAugmentation</v>
      </c>
      <c r="G22" s="271">
        <f>INDEX(Unit_Rates!$C$7:$K$59,MATCH($C22,Unit_Rates!$C$7:$C$59,0),7)</f>
        <v>0</v>
      </c>
      <c r="H22" s="518">
        <v>1</v>
      </c>
      <c r="I22" s="252" t="s">
        <v>308</v>
      </c>
      <c r="J22" s="147"/>
      <c r="K22" s="214">
        <f>G22*H22</f>
        <v>0</v>
      </c>
      <c r="L22" s="286">
        <f t="shared" si="0"/>
        <v>0</v>
      </c>
      <c r="M22" s="332"/>
      <c r="N22" s="751"/>
      <c r="O22" s="754"/>
      <c r="P22" s="750"/>
      <c r="Q22" s="317"/>
      <c r="R22" s="310">
        <v>0</v>
      </c>
      <c r="S22" s="310">
        <v>0</v>
      </c>
      <c r="T22" s="310">
        <v>0</v>
      </c>
      <c r="U22" s="310">
        <v>0</v>
      </c>
      <c r="V22" s="310">
        <v>0</v>
      </c>
      <c r="W22" s="310">
        <v>0</v>
      </c>
      <c r="X22" s="310">
        <v>0</v>
      </c>
      <c r="Y22" s="14">
        <f t="shared" si="1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25">
      <c r="B23" s="220"/>
      <c r="C23" s="224" t="s">
        <v>296</v>
      </c>
      <c r="D23" s="161" t="str">
        <f>INDEX(Unit_Rates!$C$7:$K$59,MATCH($C23,Unit_Rates!$C$7:$C$59,0),5)</f>
        <v>Subtransmission</v>
      </c>
      <c r="E23" s="161" t="str">
        <f>INDEX(Unit_Rates!$C$7:$K$59,MATCH($C23,Unit_Rates!$C$7:$C$59,0),6)</f>
        <v>Augmentation</v>
      </c>
      <c r="F23" s="161" t="str">
        <f t="shared" si="2"/>
        <v>SubtransmissionAugmentation</v>
      </c>
      <c r="G23" s="271">
        <f>INDEX(Unit_Rates!$C$7:$K$59,MATCH($C23,Unit_Rates!$C$7:$C$59,0),7)</f>
        <v>1277.3132743362828</v>
      </c>
      <c r="H23" s="518">
        <v>1</v>
      </c>
      <c r="I23" s="252" t="s">
        <v>308</v>
      </c>
      <c r="J23" s="147"/>
      <c r="K23" s="214">
        <f t="shared" ref="K23:K42" si="3">G23*H23</f>
        <v>1277.3132743362828</v>
      </c>
      <c r="L23" s="286">
        <f t="shared" si="0"/>
        <v>0</v>
      </c>
      <c r="M23" s="332"/>
      <c r="N23" s="751"/>
      <c r="O23" s="754"/>
      <c r="P23" s="750"/>
      <c r="Q23" s="317"/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14">
        <f t="shared" si="1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25">
      <c r="B24" s="220"/>
      <c r="C24" s="224" t="s">
        <v>295</v>
      </c>
      <c r="D24" s="161" t="str">
        <f>INDEX(Unit_Rates!$C$7:$K$59,MATCH($C24,Unit_Rates!$C$7:$C$59,0),5)</f>
        <v>Subtransmission</v>
      </c>
      <c r="E24" s="161" t="str">
        <f>INDEX(Unit_Rates!$C$7:$K$59,MATCH($C24,Unit_Rates!$C$7:$C$59,0),6)</f>
        <v>Augmentation</v>
      </c>
      <c r="F24" s="161" t="str">
        <f t="shared" si="2"/>
        <v>SubtransmissionAugmentation</v>
      </c>
      <c r="G24" s="271">
        <f>INDEX(Unit_Rates!$C$7:$K$59,MATCH($C24,Unit_Rates!$C$7:$C$59,0),7)</f>
        <v>1378.3627906976742</v>
      </c>
      <c r="H24" s="518"/>
      <c r="I24" s="252" t="s">
        <v>308</v>
      </c>
      <c r="J24" s="147"/>
      <c r="K24" s="214">
        <f t="shared" si="3"/>
        <v>0</v>
      </c>
      <c r="L24" s="286">
        <f t="shared" si="0"/>
        <v>0</v>
      </c>
      <c r="M24" s="332"/>
      <c r="N24" s="751"/>
      <c r="O24" s="754"/>
      <c r="P24" s="750"/>
      <c r="Q24" s="317"/>
      <c r="R24" s="310">
        <v>0</v>
      </c>
      <c r="S24" s="310">
        <v>0</v>
      </c>
      <c r="T24" s="310">
        <v>0</v>
      </c>
      <c r="U24" s="310">
        <v>0</v>
      </c>
      <c r="V24" s="310">
        <v>0</v>
      </c>
      <c r="W24" s="310">
        <v>0</v>
      </c>
      <c r="X24" s="310">
        <v>0</v>
      </c>
      <c r="Y24" s="14">
        <f t="shared" si="1"/>
        <v>0</v>
      </c>
    </row>
    <row r="25" spans="2:33" x14ac:dyDescent="0.25">
      <c r="B25" s="220"/>
      <c r="C25" s="224" t="s">
        <v>501</v>
      </c>
      <c r="D25" s="161" t="str">
        <f>INDEX(Unit_Rates!$C$7:$K$59,MATCH($C25,Unit_Rates!$C$7:$C$59,0),5)</f>
        <v>Subtransmission</v>
      </c>
      <c r="E25" s="161" t="str">
        <f>INDEX(Unit_Rates!$C$7:$K$59,MATCH($C25,Unit_Rates!$C$7:$C$59,0),6)</f>
        <v>Augmentation</v>
      </c>
      <c r="F25" s="161" t="str">
        <f t="shared" si="2"/>
        <v>SubtransmissionAugmentation</v>
      </c>
      <c r="G25" s="271">
        <f>INDEX(Unit_Rates!$C$7:$K$59,MATCH($C25,Unit_Rates!$C$7:$C$59,0),7)</f>
        <v>86.121892093023249</v>
      </c>
      <c r="H25" s="518"/>
      <c r="I25" s="252" t="s">
        <v>308</v>
      </c>
      <c r="J25" s="147"/>
      <c r="K25" s="214">
        <f t="shared" si="3"/>
        <v>0</v>
      </c>
      <c r="L25" s="286">
        <f t="shared" si="0"/>
        <v>0</v>
      </c>
      <c r="M25" s="332"/>
      <c r="N25" s="751"/>
      <c r="O25" s="754"/>
      <c r="P25" s="750"/>
      <c r="Q25" s="317"/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14">
        <f t="shared" si="1"/>
        <v>0</v>
      </c>
    </row>
    <row r="26" spans="2:33" x14ac:dyDescent="0.25">
      <c r="B26" s="220"/>
      <c r="C26" s="224" t="s">
        <v>383</v>
      </c>
      <c r="D26" s="161" t="str">
        <f>INDEX(Unit_Rates!$C$7:$K$59,MATCH($C26,Unit_Rates!$C$7:$C$59,0),5)</f>
        <v>Subtransmission</v>
      </c>
      <c r="E26" s="161" t="str">
        <f>INDEX(Unit_Rates!$C$7:$K$59,MATCH($C26,Unit_Rates!$C$7:$C$59,0),6)</f>
        <v>Augmentation</v>
      </c>
      <c r="F26" s="161" t="str">
        <f t="shared" si="2"/>
        <v>SubtransmissionAugmentation</v>
      </c>
      <c r="G26" s="271">
        <f>INDEX(Unit_Rates!$C$7:$K$59,MATCH($C26,Unit_Rates!$C$7:$C$59,0),7)</f>
        <v>0</v>
      </c>
      <c r="H26" s="518"/>
      <c r="I26" s="252" t="s">
        <v>308</v>
      </c>
      <c r="J26" s="147"/>
      <c r="K26" s="214">
        <f>G26*H26</f>
        <v>0</v>
      </c>
      <c r="L26" s="286">
        <f t="shared" si="0"/>
        <v>0</v>
      </c>
      <c r="M26" s="332"/>
      <c r="N26" s="751"/>
      <c r="O26" s="754"/>
      <c r="P26" s="750"/>
      <c r="Q26" s="317"/>
      <c r="R26" s="310">
        <v>0</v>
      </c>
      <c r="S26" s="310">
        <v>0</v>
      </c>
      <c r="T26" s="310">
        <v>0</v>
      </c>
      <c r="U26" s="310">
        <v>0</v>
      </c>
      <c r="V26" s="310">
        <v>0</v>
      </c>
      <c r="W26" s="310">
        <v>0</v>
      </c>
      <c r="X26" s="310">
        <v>0</v>
      </c>
      <c r="Y26" s="14">
        <f t="shared" si="1"/>
        <v>0</v>
      </c>
    </row>
    <row r="27" spans="2:33" x14ac:dyDescent="0.25">
      <c r="B27" s="220"/>
      <c r="C27" s="224" t="s">
        <v>361</v>
      </c>
      <c r="D27" s="161" t="str">
        <f>INDEX(Unit_Rates!$C$7:$K$59,MATCH($C27,Unit_Rates!$C$7:$C$59,0),5)</f>
        <v>Subtransmission</v>
      </c>
      <c r="E27" s="161" t="str">
        <f>INDEX(Unit_Rates!$C$7:$K$59,MATCH($C27,Unit_Rates!$C$7:$C$59,0),6)</f>
        <v>Augmentation</v>
      </c>
      <c r="F27" s="161" t="str">
        <f t="shared" si="2"/>
        <v>SubtransmissionAugmentation</v>
      </c>
      <c r="G27" s="271">
        <f>INDEX(Unit_Rates!$C$7:$K$59,MATCH($C27,Unit_Rates!$C$7:$C$59,0),7)</f>
        <v>100.94548318584069</v>
      </c>
      <c r="H27" s="518"/>
      <c r="I27" s="252" t="s">
        <v>308</v>
      </c>
      <c r="J27" s="147"/>
      <c r="K27" s="214">
        <f t="shared" ref="K27:K33" si="4">G27*H27</f>
        <v>0</v>
      </c>
      <c r="L27" s="286">
        <f t="shared" si="0"/>
        <v>0</v>
      </c>
      <c r="M27" s="332"/>
      <c r="N27" s="751"/>
      <c r="O27" s="754"/>
      <c r="P27" s="750"/>
      <c r="Q27" s="317"/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14">
        <f t="shared" si="1"/>
        <v>0</v>
      </c>
    </row>
    <row r="28" spans="2:33" x14ac:dyDescent="0.25">
      <c r="B28" s="220"/>
      <c r="C28" s="224" t="s">
        <v>348</v>
      </c>
      <c r="D28" s="161" t="str">
        <f>INDEX(Unit_Rates!$C$7:$K$59,MATCH($C28,Unit_Rates!$C$7:$C$59,0),5)</f>
        <v>Subtransmission</v>
      </c>
      <c r="E28" s="161" t="str">
        <f>INDEX(Unit_Rates!$C$7:$K$59,MATCH($C28,Unit_Rates!$C$7:$C$59,0),6)</f>
        <v>Augmentation</v>
      </c>
      <c r="F28" s="161" t="str">
        <f t="shared" si="2"/>
        <v>SubtransmissionAugmentation</v>
      </c>
      <c r="G28" s="271">
        <f>INDEX(Unit_Rates!$C$7:$K$59,MATCH($C28,Unit_Rates!$C$7:$C$59,0),7)</f>
        <v>7.2299327433628298</v>
      </c>
      <c r="H28" s="518"/>
      <c r="I28" s="252" t="s">
        <v>308</v>
      </c>
      <c r="J28" s="147"/>
      <c r="K28" s="214">
        <f t="shared" si="4"/>
        <v>0</v>
      </c>
      <c r="L28" s="286">
        <f t="shared" si="0"/>
        <v>0</v>
      </c>
      <c r="M28" s="332"/>
      <c r="N28" s="751"/>
      <c r="O28" s="754"/>
      <c r="P28" s="750"/>
      <c r="Q28" s="317"/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14">
        <f t="shared" si="1"/>
        <v>0</v>
      </c>
    </row>
    <row r="29" spans="2:33" x14ac:dyDescent="0.25">
      <c r="B29" s="220"/>
      <c r="C29" s="224" t="s">
        <v>347</v>
      </c>
      <c r="D29" s="161" t="str">
        <f>INDEX(Unit_Rates!$C$7:$K$59,MATCH($C29,Unit_Rates!$C$7:$C$59,0),5)</f>
        <v>Subtransmission</v>
      </c>
      <c r="E29" s="161" t="str">
        <f>INDEX(Unit_Rates!$C$7:$K$59,MATCH($C29,Unit_Rates!$C$7:$C$59,0),6)</f>
        <v>Augmentation</v>
      </c>
      <c r="F29" s="161" t="str">
        <f t="shared" si="2"/>
        <v>SubtransmissionAugmentation</v>
      </c>
      <c r="G29" s="271">
        <f>INDEX(Unit_Rates!$C$7:$K$59,MATCH($C29,Unit_Rates!$C$7:$C$59,0),7)</f>
        <v>0</v>
      </c>
      <c r="H29" s="518"/>
      <c r="I29" s="252" t="s">
        <v>308</v>
      </c>
      <c r="J29" s="147"/>
      <c r="K29" s="214">
        <f t="shared" si="4"/>
        <v>0</v>
      </c>
      <c r="L29" s="286">
        <f t="shared" si="0"/>
        <v>0</v>
      </c>
      <c r="M29" s="332"/>
      <c r="N29" s="751"/>
      <c r="O29" s="754"/>
      <c r="P29" s="750"/>
      <c r="Q29" s="317"/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14">
        <f t="shared" si="1"/>
        <v>0</v>
      </c>
    </row>
    <row r="30" spans="2:33" x14ac:dyDescent="0.25">
      <c r="B30" s="220"/>
      <c r="C30" s="224" t="s">
        <v>477</v>
      </c>
      <c r="D30" s="161" t="str">
        <f>INDEX(Unit_Rates!$C$7:$K$59,MATCH($C30,Unit_Rates!$C$7:$C$59,0),5)</f>
        <v>Subtransmission</v>
      </c>
      <c r="E30" s="161" t="str">
        <f>INDEX(Unit_Rates!$C$7:$K$59,MATCH($C30,Unit_Rates!$C$7:$C$59,0),6)</f>
        <v>Augmentation</v>
      </c>
      <c r="F30" s="161" t="str">
        <f>D30&amp;E30</f>
        <v>SubtransmissionAugmentation</v>
      </c>
      <c r="G30" s="271">
        <f>INDEX(Unit_Rates!$C$7:$K$59,MATCH($C30,Unit_Rates!$C$7:$C$59,0),7)</f>
        <v>0</v>
      </c>
      <c r="H30" s="518">
        <v>7</v>
      </c>
      <c r="I30" s="252" t="s">
        <v>308</v>
      </c>
      <c r="J30" s="147"/>
      <c r="K30" s="214">
        <f t="shared" si="4"/>
        <v>0</v>
      </c>
      <c r="L30" s="286">
        <f t="shared" si="0"/>
        <v>0</v>
      </c>
      <c r="M30" s="332"/>
      <c r="N30" s="751"/>
      <c r="O30" s="751"/>
      <c r="P30" s="750"/>
      <c r="Q30" s="317"/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14">
        <f t="shared" si="1"/>
        <v>0</v>
      </c>
    </row>
    <row r="31" spans="2:33" x14ac:dyDescent="0.25">
      <c r="B31" s="220"/>
      <c r="C31" s="224" t="s">
        <v>349</v>
      </c>
      <c r="D31" s="161" t="str">
        <f>INDEX(Unit_Rates!$C$7:$K$59,MATCH($C31,Unit_Rates!$C$7:$C$59,0),5)</f>
        <v>Subtransmission</v>
      </c>
      <c r="E31" s="161" t="str">
        <f>INDEX(Unit_Rates!$C$7:$K$59,MATCH($C31,Unit_Rates!$C$7:$C$59,0),6)</f>
        <v>Augmentation</v>
      </c>
      <c r="F31" s="161" t="str">
        <f t="shared" si="2"/>
        <v>SubtransmissionAugmentation</v>
      </c>
      <c r="G31" s="271">
        <f>INDEX(Unit_Rates!$C$7:$K$59,MATCH($C31,Unit_Rates!$C$7:$C$59,0),7)</f>
        <v>0</v>
      </c>
      <c r="H31" s="518"/>
      <c r="I31" s="252" t="s">
        <v>308</v>
      </c>
      <c r="J31" s="147"/>
      <c r="K31" s="214">
        <f t="shared" si="4"/>
        <v>0</v>
      </c>
      <c r="L31" s="286">
        <f t="shared" si="0"/>
        <v>0</v>
      </c>
      <c r="M31" s="332"/>
      <c r="N31" s="751"/>
      <c r="O31" s="754"/>
      <c r="P31" s="750"/>
      <c r="Q31" s="317"/>
      <c r="R31" s="310"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14">
        <f t="shared" si="1"/>
        <v>0</v>
      </c>
    </row>
    <row r="32" spans="2:33" x14ac:dyDescent="0.25">
      <c r="B32" s="220"/>
      <c r="C32" s="224" t="s">
        <v>350</v>
      </c>
      <c r="D32" s="161" t="str">
        <f>INDEX(Unit_Rates!$C$7:$K$59,MATCH($C32,Unit_Rates!$C$7:$C$59,0),5)</f>
        <v>Subtransmission</v>
      </c>
      <c r="E32" s="161" t="str">
        <f>INDEX(Unit_Rates!$C$7:$K$59,MATCH($C32,Unit_Rates!$C$7:$C$59,0),6)</f>
        <v>Augmentation</v>
      </c>
      <c r="F32" s="161" t="str">
        <f t="shared" si="2"/>
        <v>SubtransmissionAugmentation</v>
      </c>
      <c r="G32" s="271">
        <f>INDEX(Unit_Rates!$C$7:$K$59,MATCH($C32,Unit_Rates!$C$7:$C$59,0),7)</f>
        <v>0.58488495575221222</v>
      </c>
      <c r="H32" s="518">
        <v>1</v>
      </c>
      <c r="I32" s="252" t="s">
        <v>308</v>
      </c>
      <c r="J32" s="147"/>
      <c r="K32" s="214">
        <f t="shared" si="4"/>
        <v>0.58488495575221222</v>
      </c>
      <c r="L32" s="286">
        <f t="shared" si="0"/>
        <v>0</v>
      </c>
      <c r="M32" s="332"/>
      <c r="N32" s="751"/>
      <c r="O32" s="754"/>
      <c r="P32" s="750"/>
      <c r="Q32" s="317"/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14">
        <f t="shared" si="1"/>
        <v>0</v>
      </c>
    </row>
    <row r="33" spans="2:25" x14ac:dyDescent="0.25">
      <c r="B33" s="220"/>
      <c r="C33" s="224" t="s">
        <v>479</v>
      </c>
      <c r="D33" s="161" t="str">
        <f>INDEX(Unit_Rates!$C$7:$K$59,MATCH($C33,Unit_Rates!$C$7:$C$59,0),5)</f>
        <v>Subtransmission</v>
      </c>
      <c r="E33" s="161" t="str">
        <f>INDEX(Unit_Rates!$C$7:$K$59,MATCH($C33,Unit_Rates!$C$7:$C$59,0),6)</f>
        <v>Augmentation</v>
      </c>
      <c r="F33" s="161" t="str">
        <f t="shared" si="2"/>
        <v>SubtransmissionAugmentation</v>
      </c>
      <c r="G33" s="271">
        <f>INDEX(Unit_Rates!$C$7:$K$59,MATCH($C33,Unit_Rates!$C$7:$C$59,0),7)</f>
        <v>0</v>
      </c>
      <c r="H33" s="518">
        <v>6</v>
      </c>
      <c r="I33" s="252" t="s">
        <v>308</v>
      </c>
      <c r="J33" s="147"/>
      <c r="K33" s="214">
        <f t="shared" si="4"/>
        <v>0</v>
      </c>
      <c r="L33" s="286">
        <f t="shared" si="0"/>
        <v>0</v>
      </c>
      <c r="M33" s="332"/>
      <c r="N33" s="751"/>
      <c r="O33" s="754"/>
      <c r="P33" s="750"/>
      <c r="Q33" s="317"/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14">
        <f t="shared" si="1"/>
        <v>0</v>
      </c>
    </row>
    <row r="34" spans="2:25" x14ac:dyDescent="0.25">
      <c r="B34" s="220"/>
      <c r="C34" s="224" t="s">
        <v>225</v>
      </c>
      <c r="D34" s="161" t="str">
        <f>INDEX(Unit_Rates!$C$7:$K$59,MATCH($C34,Unit_Rates!$C$7:$C$59,0),5)</f>
        <v>Subtransmission</v>
      </c>
      <c r="E34" s="161" t="str">
        <f>INDEX(Unit_Rates!$C$7:$K$59,MATCH($C34,Unit_Rates!$C$7:$C$59,0),6)</f>
        <v>Augmentation</v>
      </c>
      <c r="F34" s="161" t="str">
        <f t="shared" si="2"/>
        <v>SubtransmissionAugmentation</v>
      </c>
      <c r="G34" s="271">
        <f>INDEX(Unit_Rates!$C$7:$K$59,MATCH($C34,Unit_Rates!$C$7:$C$59,0),7)</f>
        <v>88.538375221238923</v>
      </c>
      <c r="H34" s="518">
        <v>1</v>
      </c>
      <c r="I34" s="252" t="s">
        <v>308</v>
      </c>
      <c r="J34" s="147"/>
      <c r="K34" s="214">
        <f t="shared" si="3"/>
        <v>88.538375221238923</v>
      </c>
      <c r="L34" s="286">
        <f t="shared" si="0"/>
        <v>0</v>
      </c>
      <c r="M34" s="332"/>
      <c r="N34" s="751"/>
      <c r="O34" s="754"/>
      <c r="P34" s="750"/>
      <c r="Q34" s="317"/>
      <c r="R34" s="310">
        <v>0</v>
      </c>
      <c r="S34" s="310">
        <v>0</v>
      </c>
      <c r="T34" s="310">
        <v>0</v>
      </c>
      <c r="U34" s="310">
        <v>0</v>
      </c>
      <c r="V34" s="310">
        <v>0</v>
      </c>
      <c r="W34" s="310">
        <v>0</v>
      </c>
      <c r="X34" s="310">
        <v>0</v>
      </c>
      <c r="Y34" s="14">
        <f t="shared" si="1"/>
        <v>0</v>
      </c>
    </row>
    <row r="35" spans="2:25" x14ac:dyDescent="0.25">
      <c r="B35" s="220"/>
      <c r="C35" s="224" t="s">
        <v>228</v>
      </c>
      <c r="D35" s="161" t="str">
        <f>INDEX(Unit_Rates!$C$7:$K$59,MATCH($C35,Unit_Rates!$C$7:$C$59,0),5)</f>
        <v>Subtransmission</v>
      </c>
      <c r="E35" s="161" t="str">
        <f>INDEX(Unit_Rates!$C$7:$K$59,MATCH($C35,Unit_Rates!$C$7:$C$59,0),6)</f>
        <v>Augmentation</v>
      </c>
      <c r="F35" s="161" t="str">
        <f t="shared" si="2"/>
        <v>SubtransmissionAugmentation</v>
      </c>
      <c r="G35" s="271">
        <f>INDEX(Unit_Rates!$C$7:$K$59,MATCH($C35,Unit_Rates!$C$7:$C$59,0),7)</f>
        <v>0</v>
      </c>
      <c r="H35" s="518"/>
      <c r="I35" s="252" t="s">
        <v>308</v>
      </c>
      <c r="J35" s="147"/>
      <c r="K35" s="214">
        <f t="shared" si="3"/>
        <v>0</v>
      </c>
      <c r="L35" s="286">
        <f t="shared" si="0"/>
        <v>0</v>
      </c>
      <c r="M35" s="332"/>
      <c r="N35" s="751"/>
      <c r="O35" s="754"/>
      <c r="P35" s="750"/>
      <c r="Q35" s="317"/>
      <c r="R35" s="310">
        <v>0</v>
      </c>
      <c r="S35" s="310">
        <v>0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14">
        <f t="shared" si="1"/>
        <v>0</v>
      </c>
    </row>
    <row r="36" spans="2:25" x14ac:dyDescent="0.25">
      <c r="B36" s="220"/>
      <c r="C36" s="224" t="s">
        <v>375</v>
      </c>
      <c r="D36" s="161" t="str">
        <f>INDEX(Unit_Rates!$C$7:$K$59,MATCH($C36,Unit_Rates!$C$7:$C$59,0),5)</f>
        <v>Subtransmission</v>
      </c>
      <c r="E36" s="161" t="str">
        <f>INDEX(Unit_Rates!$C$7:$K$59,MATCH($C36,Unit_Rates!$C$7:$C$59,0),6)</f>
        <v>Augmentation</v>
      </c>
      <c r="F36" s="161" t="str">
        <f t="shared" si="2"/>
        <v>SubtransmissionAugmentation</v>
      </c>
      <c r="G36" s="271">
        <f>INDEX(Unit_Rates!$C$7:$K$59,MATCH($C36,Unit_Rates!$C$7:$C$59,0),7)</f>
        <v>214.73768141592916</v>
      </c>
      <c r="H36" s="518"/>
      <c r="I36" s="252" t="s">
        <v>308</v>
      </c>
      <c r="J36" s="147"/>
      <c r="K36" s="214">
        <f t="shared" si="3"/>
        <v>0</v>
      </c>
      <c r="L36" s="286">
        <f t="shared" si="0"/>
        <v>0</v>
      </c>
      <c r="M36" s="332"/>
      <c r="N36" s="751"/>
      <c r="O36" s="754"/>
      <c r="P36" s="750"/>
      <c r="Q36" s="317"/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14">
        <f t="shared" si="1"/>
        <v>0</v>
      </c>
    </row>
    <row r="37" spans="2:25" x14ac:dyDescent="0.25">
      <c r="B37" s="220"/>
      <c r="C37" s="224" t="s">
        <v>289</v>
      </c>
      <c r="D37" s="161" t="str">
        <f>INDEX(Unit_Rates!$C$7:$K$59,MATCH($C37,Unit_Rates!$C$7:$C$59,0),5)</f>
        <v>Subtransmission</v>
      </c>
      <c r="E37" s="161" t="str">
        <f>INDEX(Unit_Rates!$C$7:$K$59,MATCH($C37,Unit_Rates!$C$7:$C$59,0),6)</f>
        <v>Augmentation</v>
      </c>
      <c r="F37" s="161" t="str">
        <f t="shared" si="2"/>
        <v>SubtransmissionAugmentation</v>
      </c>
      <c r="G37" s="271">
        <f>INDEX(Unit_Rates!$C$7:$K$59,MATCH($C37,Unit_Rates!$C$7:$C$59,0),7)</f>
        <v>348.13767610619459</v>
      </c>
      <c r="H37" s="518"/>
      <c r="I37" s="252" t="s">
        <v>308</v>
      </c>
      <c r="J37" s="147"/>
      <c r="K37" s="214">
        <f t="shared" si="3"/>
        <v>0</v>
      </c>
      <c r="L37" s="286">
        <f t="shared" si="0"/>
        <v>0</v>
      </c>
      <c r="M37" s="332"/>
      <c r="N37" s="751"/>
      <c r="O37" s="754"/>
      <c r="P37" s="750"/>
      <c r="Q37" s="317"/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14">
        <f t="shared" si="1"/>
        <v>0</v>
      </c>
    </row>
    <row r="38" spans="2:25" x14ac:dyDescent="0.25">
      <c r="B38" s="220"/>
      <c r="C38" s="224" t="s">
        <v>319</v>
      </c>
      <c r="D38" s="161" t="str">
        <f>INDEX(Unit_Rates!$C$7:$K$59,MATCH($C38,Unit_Rates!$C$7:$C$59,0),5)</f>
        <v>Subtransmission</v>
      </c>
      <c r="E38" s="161" t="str">
        <f>INDEX(Unit_Rates!$C$7:$K$59,MATCH($C38,Unit_Rates!$C$7:$C$59,0),6)</f>
        <v>Augmentation</v>
      </c>
      <c r="F38" s="161" t="str">
        <f>D38&amp;E38</f>
        <v>SubtransmissionAugmentation</v>
      </c>
      <c r="G38" s="524">
        <v>7.432925866821409E-2</v>
      </c>
      <c r="H38" s="518">
        <v>610</v>
      </c>
      <c r="I38" s="252" t="s">
        <v>334</v>
      </c>
      <c r="J38" s="147"/>
      <c r="K38" s="214">
        <f t="shared" si="3"/>
        <v>45.340847787610592</v>
      </c>
      <c r="L38" s="286">
        <f t="shared" si="0"/>
        <v>0</v>
      </c>
      <c r="M38" s="332"/>
      <c r="N38" s="739"/>
      <c r="O38" s="741"/>
      <c r="P38" s="750"/>
      <c r="Q38" s="317"/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14">
        <f t="shared" si="1"/>
        <v>0</v>
      </c>
    </row>
    <row r="39" spans="2:25" x14ac:dyDescent="0.25">
      <c r="B39" s="220"/>
      <c r="C39" s="224" t="s">
        <v>704</v>
      </c>
      <c r="D39" s="161" t="str">
        <f>INDEX(Unit_Rates!$C$7:$K$59,MATCH($C39,Unit_Rates!$C$7:$C$59,0),5)</f>
        <v>Subtransmission</v>
      </c>
      <c r="E39" s="161" t="str">
        <f>INDEX(Unit_Rates!$C$7:$K$59,MATCH($C39,Unit_Rates!$C$7:$C$59,0),6)</f>
        <v>Augmentation</v>
      </c>
      <c r="F39" s="161" t="str">
        <f>D39&amp;E39</f>
        <v>SubtransmissionAugmentation</v>
      </c>
      <c r="G39" s="696">
        <f>INDEX(Unit_Rates!$C$7:$K$59,MATCH($C39,Unit_Rates!$C$7:$C$59,0),7)</f>
        <v>4.7168141592920348E-2</v>
      </c>
      <c r="H39" s="518">
        <v>1600</v>
      </c>
      <c r="I39" s="252" t="s">
        <v>334</v>
      </c>
      <c r="J39" s="147"/>
      <c r="K39" s="214">
        <f>G39*H39</f>
        <v>75.469026548672559</v>
      </c>
      <c r="L39" s="286">
        <f>SUMPRODUCT(R$5:X$5,R39:X39)/Thousands</f>
        <v>0</v>
      </c>
      <c r="M39" s="332"/>
      <c r="N39" s="751"/>
      <c r="O39" s="754"/>
      <c r="P39" s="750"/>
      <c r="Q39" s="317"/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14">
        <f>SUM(R39:X39)</f>
        <v>0</v>
      </c>
    </row>
    <row r="40" spans="2:25" x14ac:dyDescent="0.25">
      <c r="B40" s="220"/>
      <c r="C40" s="224" t="s">
        <v>77</v>
      </c>
      <c r="D40" s="161" t="s">
        <v>18</v>
      </c>
      <c r="E40" s="161" t="s">
        <v>42</v>
      </c>
      <c r="F40" s="161" t="str">
        <f t="shared" si="2"/>
        <v>SubtransmissionAugmentation</v>
      </c>
      <c r="G40" s="524">
        <v>3.3961061946902644</v>
      </c>
      <c r="H40" s="596">
        <v>1</v>
      </c>
      <c r="I40" s="252" t="s">
        <v>308</v>
      </c>
      <c r="J40" s="147"/>
      <c r="K40" s="214">
        <f t="shared" si="3"/>
        <v>3.3961061946902644</v>
      </c>
      <c r="L40" s="215">
        <f t="shared" si="0"/>
        <v>0</v>
      </c>
      <c r="M40" s="332"/>
      <c r="N40" s="739"/>
      <c r="O40" s="741"/>
      <c r="P40" s="750"/>
      <c r="Q40" s="317"/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14">
        <f t="shared" si="1"/>
        <v>0</v>
      </c>
    </row>
    <row r="41" spans="2:25" x14ac:dyDescent="0.25">
      <c r="B41" s="220"/>
      <c r="C41" s="224" t="s">
        <v>488</v>
      </c>
      <c r="D41" s="161" t="str">
        <f>INDEX(Unit_Rates!$C$7:$K$59,MATCH($C41,Unit_Rates!$C$7:$C$59,0),5)</f>
        <v>Subtransmission</v>
      </c>
      <c r="E41" s="161" t="str">
        <f>INDEX(Unit_Rates!$C$7:$K$59,MATCH($C41,Unit_Rates!$C$7:$C$59,0),6)</f>
        <v>Augmentation</v>
      </c>
      <c r="F41" s="161" t="str">
        <f t="shared" si="2"/>
        <v>SubtransmissionAugmentation</v>
      </c>
      <c r="G41" s="271">
        <f>INDEX(Unit_Rates!$C$7:$K$59,MATCH($C41,Unit_Rates!$C$7:$C$59,0),7)</f>
        <v>25.624564601769904</v>
      </c>
      <c r="H41" s="537">
        <v>1</v>
      </c>
      <c r="I41" s="252" t="s">
        <v>308</v>
      </c>
      <c r="J41" s="147"/>
      <c r="K41" s="214">
        <f t="shared" si="3"/>
        <v>25.624564601769904</v>
      </c>
      <c r="L41" s="215">
        <f t="shared" si="0"/>
        <v>0</v>
      </c>
      <c r="M41" s="560"/>
      <c r="N41" s="739"/>
      <c r="O41" s="739"/>
      <c r="P41" s="740"/>
      <c r="Q41" s="317"/>
      <c r="R41" s="310">
        <v>0</v>
      </c>
      <c r="S41" s="310">
        <v>0</v>
      </c>
      <c r="T41" s="310">
        <v>0</v>
      </c>
      <c r="U41" s="310">
        <v>0</v>
      </c>
      <c r="V41" s="310">
        <v>0</v>
      </c>
      <c r="W41" s="310">
        <v>0</v>
      </c>
      <c r="X41" s="310">
        <v>0</v>
      </c>
      <c r="Y41" s="14">
        <f>SUM(R41:X41)</f>
        <v>0</v>
      </c>
    </row>
    <row r="42" spans="2:25" x14ac:dyDescent="0.25">
      <c r="B42" s="220"/>
      <c r="C42" s="224" t="str">
        <f>Unit_Rates!C44</f>
        <v>One Tilt Slab control room</v>
      </c>
      <c r="D42" s="161" t="str">
        <f>INDEX(Unit_Rates!$C$7:$K$59,MATCH($C42,Unit_Rates!$C$7:$C$59,0),5)</f>
        <v>Subtransmission</v>
      </c>
      <c r="E42" s="161" t="str">
        <f>INDEX(Unit_Rates!$C$7:$K$59,MATCH($C42,Unit_Rates!$C$7:$C$59,0),6)</f>
        <v>Augmentation</v>
      </c>
      <c r="F42" s="161" t="str">
        <f t="shared" si="2"/>
        <v>SubtransmissionAugmentation</v>
      </c>
      <c r="G42" s="271">
        <f>INDEX(Unit_Rates!$C$7:$K$59,MATCH($C42,Unit_Rates!$C$7:$C$59,0),7)</f>
        <v>0</v>
      </c>
      <c r="H42" s="537"/>
      <c r="I42" s="252" t="s">
        <v>308</v>
      </c>
      <c r="J42" s="147"/>
      <c r="K42" s="214">
        <f t="shared" si="3"/>
        <v>0</v>
      </c>
      <c r="L42" s="215">
        <f t="shared" si="0"/>
        <v>0</v>
      </c>
      <c r="M42" s="560"/>
      <c r="N42" s="739"/>
      <c r="O42" s="739"/>
      <c r="P42" s="740"/>
      <c r="Q42" s="317"/>
      <c r="R42" s="310">
        <v>0</v>
      </c>
      <c r="S42" s="310">
        <v>0</v>
      </c>
      <c r="T42" s="310">
        <v>0</v>
      </c>
      <c r="U42" s="310">
        <v>0</v>
      </c>
      <c r="V42" s="310">
        <v>0</v>
      </c>
      <c r="W42" s="310">
        <v>0</v>
      </c>
      <c r="X42" s="310">
        <v>0</v>
      </c>
      <c r="Y42" s="14">
        <f>SUM(R42:X42)</f>
        <v>0</v>
      </c>
    </row>
    <row r="43" spans="2:25" x14ac:dyDescent="0.25">
      <c r="B43" s="220"/>
      <c r="C43" s="224"/>
      <c r="D43" s="161"/>
      <c r="E43" s="161"/>
      <c r="F43" s="161"/>
      <c r="G43" s="271"/>
      <c r="H43" s="598"/>
      <c r="I43" s="212"/>
      <c r="J43" s="147"/>
      <c r="K43" s="213"/>
      <c r="L43" s="212"/>
      <c r="M43" s="212"/>
      <c r="N43" s="213"/>
      <c r="O43" s="213"/>
      <c r="P43" s="212"/>
      <c r="Q43" s="278"/>
      <c r="R43" s="309"/>
      <c r="S43" s="309"/>
      <c r="T43" s="309"/>
      <c r="U43" s="309"/>
      <c r="V43" s="309"/>
      <c r="W43" s="309"/>
      <c r="X43" s="309"/>
      <c r="Y43" s="14"/>
    </row>
    <row r="44" spans="2:25" x14ac:dyDescent="0.25">
      <c r="B44" s="239" t="s">
        <v>323</v>
      </c>
      <c r="C44" s="224"/>
      <c r="D44" s="161"/>
      <c r="E44" s="161"/>
      <c r="F44" s="161"/>
      <c r="G44" s="271"/>
      <c r="H44" s="599"/>
      <c r="I44" s="254"/>
      <c r="J44" s="262"/>
      <c r="K44" s="214"/>
      <c r="L44" s="214"/>
      <c r="M44" s="214"/>
      <c r="N44" s="269"/>
      <c r="O44" s="214"/>
      <c r="P44" s="211"/>
      <c r="Q44" s="277"/>
      <c r="R44" s="309"/>
      <c r="S44" s="309"/>
      <c r="T44" s="309"/>
      <c r="U44" s="309"/>
      <c r="V44" s="309"/>
      <c r="W44" s="309"/>
      <c r="X44" s="309"/>
    </row>
    <row r="45" spans="2:25" x14ac:dyDescent="0.25">
      <c r="B45" s="220"/>
      <c r="C45" s="264" t="s">
        <v>483</v>
      </c>
      <c r="D45" s="161" t="str">
        <f>INDEX(Unit_Rates!$C$7:$K$59,MATCH($C45,Unit_Rates!$C$7:$C$59,0),5)</f>
        <v>SCADA/Network control</v>
      </c>
      <c r="E45" s="161" t="str">
        <f>INDEX(Unit_Rates!$C$7:$K$59,MATCH($C45,Unit_Rates!$C$7:$C$59,0),6)</f>
        <v>Augmentation</v>
      </c>
      <c r="F45" s="161" t="str">
        <f t="shared" ref="F45:F52" si="5">D45&amp;E45</f>
        <v>SCADA/Network controlAugmentation</v>
      </c>
      <c r="G45" s="271">
        <f>INDEX(Unit_Rates!$C$7:$K$59,MATCH($C45,Unit_Rates!$C$7:$C$59,0),7)</f>
        <v>46.208057090239414</v>
      </c>
      <c r="H45" s="518">
        <v>1</v>
      </c>
      <c r="I45" s="252" t="s">
        <v>308</v>
      </c>
      <c r="J45" s="147"/>
      <c r="K45" s="213">
        <f t="shared" ref="K45:K52" si="6">G45*H45</f>
        <v>46.208057090239414</v>
      </c>
      <c r="L45" s="213">
        <f t="shared" ref="L45:L52" si="7">SUMPRODUCT(R$5:X$5,R45:X45)/Thousands</f>
        <v>0</v>
      </c>
      <c r="M45" s="291"/>
      <c r="N45" s="751"/>
      <c r="O45" s="754"/>
      <c r="P45" s="750"/>
      <c r="Q45" s="317"/>
      <c r="R45" s="310">
        <v>0</v>
      </c>
      <c r="S45" s="310">
        <v>0</v>
      </c>
      <c r="T45" s="310">
        <v>0</v>
      </c>
      <c r="U45" s="310">
        <v>0</v>
      </c>
      <c r="V45" s="310">
        <v>0</v>
      </c>
      <c r="W45" s="310">
        <v>0</v>
      </c>
      <c r="X45" s="310">
        <v>0</v>
      </c>
      <c r="Y45" s="14">
        <f t="shared" ref="Y45:Y52" si="8">SUM(R45:X45)</f>
        <v>0</v>
      </c>
    </row>
    <row r="46" spans="2:25" x14ac:dyDescent="0.25">
      <c r="B46" s="220"/>
      <c r="C46" s="264" t="s">
        <v>335</v>
      </c>
      <c r="D46" s="161" t="str">
        <f>INDEX(Unit_Rates!$C$7:$K$59,MATCH($C46,Unit_Rates!$C$7:$C$59,0),5)</f>
        <v>SCADA/Network control</v>
      </c>
      <c r="E46" s="161" t="str">
        <f>INDEX(Unit_Rates!$C$7:$K$59,MATCH($C46,Unit_Rates!$C$7:$C$59,0),6)</f>
        <v>Augmentation</v>
      </c>
      <c r="F46" s="161" t="str">
        <f t="shared" si="5"/>
        <v>SCADA/Network controlAugmentation</v>
      </c>
      <c r="G46" s="271">
        <f>INDEX(Unit_Rates!$C$7:$K$59,MATCH($C46,Unit_Rates!$C$7:$C$59,0),7)</f>
        <v>5.88950276243094</v>
      </c>
      <c r="H46" s="518">
        <v>1</v>
      </c>
      <c r="I46" s="252" t="s">
        <v>308</v>
      </c>
      <c r="J46" s="147"/>
      <c r="K46" s="213">
        <f t="shared" si="6"/>
        <v>5.88950276243094</v>
      </c>
      <c r="L46" s="213">
        <f t="shared" si="7"/>
        <v>0</v>
      </c>
      <c r="M46" s="291"/>
      <c r="N46" s="739"/>
      <c r="O46" s="754"/>
      <c r="P46" s="750"/>
      <c r="Q46" s="317"/>
      <c r="R46" s="310">
        <v>0</v>
      </c>
      <c r="S46" s="310">
        <v>0</v>
      </c>
      <c r="T46" s="310">
        <v>0</v>
      </c>
      <c r="U46" s="310">
        <v>0</v>
      </c>
      <c r="V46" s="310">
        <v>0</v>
      </c>
      <c r="W46" s="310">
        <v>0</v>
      </c>
      <c r="X46" s="310">
        <v>0</v>
      </c>
      <c r="Y46" s="14">
        <f t="shared" si="8"/>
        <v>0</v>
      </c>
    </row>
    <row r="47" spans="2:25" x14ac:dyDescent="0.25">
      <c r="B47" s="220"/>
      <c r="C47" s="264" t="s">
        <v>337</v>
      </c>
      <c r="D47" s="161" t="str">
        <f>INDEX(Unit_Rates!$C$7:$K$59,MATCH($C47,Unit_Rates!$C$7:$C$59,0),5)</f>
        <v>SCADA/Network control</v>
      </c>
      <c r="E47" s="161" t="str">
        <f>INDEX(Unit_Rates!$C$7:$K$59,MATCH($C47,Unit_Rates!$C$7:$C$59,0),6)</f>
        <v>Augmentation</v>
      </c>
      <c r="F47" s="161" t="str">
        <f t="shared" si="5"/>
        <v>SCADA/Network controlAugmentation</v>
      </c>
      <c r="G47" s="271">
        <f>INDEX(Unit_Rates!$C$7:$K$59,MATCH($C47,Unit_Rates!$C$7:$C$59,0),7)</f>
        <v>8.2030957642725593</v>
      </c>
      <c r="H47" s="518"/>
      <c r="I47" s="252" t="s">
        <v>308</v>
      </c>
      <c r="J47" s="147"/>
      <c r="K47" s="213">
        <f t="shared" si="6"/>
        <v>0</v>
      </c>
      <c r="L47" s="213">
        <f t="shared" si="7"/>
        <v>0</v>
      </c>
      <c r="M47" s="291"/>
      <c r="N47" s="739"/>
      <c r="O47" s="754"/>
      <c r="P47" s="750"/>
      <c r="Q47" s="317"/>
      <c r="R47" s="310">
        <v>0</v>
      </c>
      <c r="S47" s="310">
        <v>0</v>
      </c>
      <c r="T47" s="310">
        <v>0</v>
      </c>
      <c r="U47" s="310">
        <v>0</v>
      </c>
      <c r="V47" s="310">
        <v>0</v>
      </c>
      <c r="W47" s="310">
        <v>0</v>
      </c>
      <c r="X47" s="310">
        <v>0</v>
      </c>
      <c r="Y47" s="14">
        <f t="shared" si="8"/>
        <v>0</v>
      </c>
    </row>
    <row r="48" spans="2:25" x14ac:dyDescent="0.25">
      <c r="B48" s="220"/>
      <c r="C48" s="264" t="s">
        <v>504</v>
      </c>
      <c r="D48" s="161" t="str">
        <f>INDEX(Unit_Rates!$C$7:$K$59,MATCH($C48,Unit_Rates!$C$7:$C$59,0),5)</f>
        <v>SCADA/Network control</v>
      </c>
      <c r="E48" s="161" t="str">
        <f>INDEX(Unit_Rates!$C$7:$K$59,MATCH($C48,Unit_Rates!$C$7:$C$59,0),6)</f>
        <v>Augmentation</v>
      </c>
      <c r="F48" s="161" t="str">
        <f t="shared" si="5"/>
        <v>SCADA/Network controlAugmentation</v>
      </c>
      <c r="G48" s="271">
        <f>INDEX(Unit_Rates!$C$7:$K$59,MATCH($C48,Unit_Rates!$C$7:$C$59,0),7)</f>
        <v>92.456849907918979</v>
      </c>
      <c r="H48" s="518">
        <v>1</v>
      </c>
      <c r="I48" s="252" t="s">
        <v>308</v>
      </c>
      <c r="J48" s="147"/>
      <c r="K48" s="213">
        <f t="shared" si="6"/>
        <v>92.456849907918979</v>
      </c>
      <c r="L48" s="213">
        <f t="shared" si="7"/>
        <v>0</v>
      </c>
      <c r="M48" s="291"/>
      <c r="N48" s="739"/>
      <c r="O48" s="754"/>
      <c r="P48" s="750"/>
      <c r="Q48" s="317"/>
      <c r="R48" s="310">
        <v>0</v>
      </c>
      <c r="S48" s="310">
        <v>0</v>
      </c>
      <c r="T48" s="310">
        <v>0</v>
      </c>
      <c r="U48" s="310">
        <v>0</v>
      </c>
      <c r="V48" s="310">
        <v>0</v>
      </c>
      <c r="W48" s="310">
        <v>0</v>
      </c>
      <c r="X48" s="310">
        <v>0</v>
      </c>
      <c r="Y48" s="14">
        <f t="shared" si="8"/>
        <v>0</v>
      </c>
    </row>
    <row r="49" spans="2:35" x14ac:dyDescent="0.25">
      <c r="B49" s="220"/>
      <c r="C49" s="264" t="s">
        <v>351</v>
      </c>
      <c r="D49" s="161" t="str">
        <f>INDEX(Unit_Rates!$C$7:$K$59,MATCH($C49,Unit_Rates!$C$7:$C$59,0),5)</f>
        <v>SCADA/Network control</v>
      </c>
      <c r="E49" s="161" t="str">
        <f>INDEX(Unit_Rates!$C$7:$K$59,MATCH($C49,Unit_Rates!$C$7:$C$59,0),6)</f>
        <v>Augmentation</v>
      </c>
      <c r="F49" s="161" t="str">
        <f>D49&amp;E49</f>
        <v>SCADA/Network controlAugmentation</v>
      </c>
      <c r="G49" s="271">
        <f>INDEX(Unit_Rates!$C$7:$K$59,MATCH($C49,Unit_Rates!$C$7:$C$59,0),7)</f>
        <v>140.881568372093</v>
      </c>
      <c r="H49" s="518">
        <v>1</v>
      </c>
      <c r="I49" s="252" t="s">
        <v>308</v>
      </c>
      <c r="J49" s="147"/>
      <c r="K49" s="213">
        <f t="shared" si="6"/>
        <v>140.881568372093</v>
      </c>
      <c r="L49" s="213">
        <f t="shared" si="7"/>
        <v>0</v>
      </c>
      <c r="M49" s="291"/>
      <c r="N49" s="739"/>
      <c r="O49" s="754"/>
      <c r="P49" s="750"/>
      <c r="Q49" s="317"/>
      <c r="R49" s="310">
        <v>0</v>
      </c>
      <c r="S49" s="310">
        <v>0</v>
      </c>
      <c r="T49" s="310">
        <v>0</v>
      </c>
      <c r="U49" s="310">
        <v>0</v>
      </c>
      <c r="V49" s="310">
        <v>0</v>
      </c>
      <c r="W49" s="310">
        <v>0</v>
      </c>
      <c r="X49" s="310">
        <v>0</v>
      </c>
      <c r="Y49" s="14">
        <f>SUM(R49:X49)</f>
        <v>0</v>
      </c>
    </row>
    <row r="50" spans="2:35" x14ac:dyDescent="0.25">
      <c r="B50" s="725"/>
      <c r="C50" s="224" t="s">
        <v>340</v>
      </c>
      <c r="D50" s="264" t="s">
        <v>22</v>
      </c>
      <c r="E50" s="264" t="s">
        <v>42</v>
      </c>
      <c r="F50" s="161" t="str">
        <f t="shared" si="5"/>
        <v>SCADA/Network controlAugmentation</v>
      </c>
      <c r="G50" s="524">
        <v>72.109711504424766</v>
      </c>
      <c r="H50" s="518">
        <v>1</v>
      </c>
      <c r="I50" s="252" t="s">
        <v>308</v>
      </c>
      <c r="J50" s="147"/>
      <c r="K50" s="213">
        <f t="shared" si="6"/>
        <v>72.109711504424766</v>
      </c>
      <c r="L50" s="213">
        <f t="shared" si="7"/>
        <v>0</v>
      </c>
      <c r="M50" s="291"/>
      <c r="N50" s="739"/>
      <c r="O50" s="741"/>
      <c r="P50" s="750"/>
      <c r="Q50" s="277"/>
      <c r="R50" s="310">
        <v>0</v>
      </c>
      <c r="S50" s="310">
        <v>0</v>
      </c>
      <c r="T50" s="310">
        <v>0</v>
      </c>
      <c r="U50" s="310">
        <v>0</v>
      </c>
      <c r="V50" s="310">
        <v>0</v>
      </c>
      <c r="W50" s="310">
        <v>0</v>
      </c>
      <c r="X50" s="310">
        <v>0</v>
      </c>
      <c r="Y50" s="14">
        <f t="shared" si="8"/>
        <v>0</v>
      </c>
    </row>
    <row r="51" spans="2:35" x14ac:dyDescent="0.25">
      <c r="B51" s="725"/>
      <c r="C51" s="224" t="s">
        <v>338</v>
      </c>
      <c r="D51" s="264" t="s">
        <v>22</v>
      </c>
      <c r="E51" s="264" t="s">
        <v>42</v>
      </c>
      <c r="F51" s="161" t="str">
        <f t="shared" si="5"/>
        <v>SCADA/Network controlAugmentation</v>
      </c>
      <c r="G51" s="524">
        <v>108.66596460176989</v>
      </c>
      <c r="H51" s="537">
        <v>1</v>
      </c>
      <c r="I51" s="252" t="s">
        <v>308</v>
      </c>
      <c r="J51" s="147"/>
      <c r="K51" s="213">
        <f t="shared" si="6"/>
        <v>108.66596460176989</v>
      </c>
      <c r="L51" s="213">
        <f t="shared" si="7"/>
        <v>0</v>
      </c>
      <c r="M51" s="291"/>
      <c r="N51" s="739"/>
      <c r="O51" s="741"/>
      <c r="P51" s="750"/>
      <c r="Q51" s="277"/>
      <c r="R51" s="310">
        <v>0</v>
      </c>
      <c r="S51" s="310">
        <v>0</v>
      </c>
      <c r="T51" s="310">
        <v>0</v>
      </c>
      <c r="U51" s="310">
        <v>0</v>
      </c>
      <c r="V51" s="310">
        <v>0</v>
      </c>
      <c r="W51" s="310">
        <v>0</v>
      </c>
      <c r="X51" s="310">
        <v>0</v>
      </c>
      <c r="Y51" s="14">
        <f t="shared" si="8"/>
        <v>0</v>
      </c>
    </row>
    <row r="52" spans="2:35" x14ac:dyDescent="0.25">
      <c r="B52" s="239" t="s">
        <v>297</v>
      </c>
      <c r="C52" s="224"/>
      <c r="D52" s="224" t="s">
        <v>18</v>
      </c>
      <c r="E52" s="224" t="s">
        <v>42</v>
      </c>
      <c r="F52" s="161" t="str">
        <f t="shared" si="5"/>
        <v>SubtransmissionAugmentation</v>
      </c>
      <c r="G52" s="524">
        <v>55.479168141592908</v>
      </c>
      <c r="H52" s="518">
        <v>1</v>
      </c>
      <c r="I52" s="252" t="s">
        <v>308</v>
      </c>
      <c r="J52" s="147"/>
      <c r="K52" s="213">
        <f t="shared" si="6"/>
        <v>55.479168141592908</v>
      </c>
      <c r="L52" s="213">
        <f t="shared" si="7"/>
        <v>0</v>
      </c>
      <c r="M52" s="291"/>
      <c r="N52" s="739"/>
      <c r="O52" s="741"/>
      <c r="P52" s="750"/>
      <c r="Q52" s="277"/>
      <c r="R52" s="310">
        <v>0</v>
      </c>
      <c r="S52" s="310">
        <v>0</v>
      </c>
      <c r="T52" s="310">
        <v>0</v>
      </c>
      <c r="U52" s="310">
        <v>0</v>
      </c>
      <c r="V52" s="310">
        <v>0</v>
      </c>
      <c r="W52" s="310">
        <v>0</v>
      </c>
      <c r="X52" s="310">
        <v>0</v>
      </c>
      <c r="Y52" s="14">
        <f t="shared" si="8"/>
        <v>0</v>
      </c>
    </row>
    <row r="53" spans="2:35" x14ac:dyDescent="0.25">
      <c r="B53" s="239" t="s">
        <v>328</v>
      </c>
      <c r="C53" s="224"/>
      <c r="D53" s="161"/>
      <c r="E53" s="264"/>
      <c r="F53" s="264"/>
      <c r="G53" s="538"/>
      <c r="H53" s="598"/>
      <c r="I53" s="212"/>
      <c r="J53" s="161"/>
      <c r="K53" s="213"/>
      <c r="L53" s="213"/>
      <c r="M53" s="213"/>
      <c r="N53" s="530"/>
      <c r="O53" s="532"/>
      <c r="P53" s="211"/>
      <c r="Q53" s="277"/>
      <c r="R53" s="309"/>
      <c r="S53" s="309"/>
      <c r="T53" s="309"/>
      <c r="U53" s="309"/>
      <c r="V53" s="309"/>
      <c r="W53" s="309"/>
      <c r="X53" s="309"/>
      <c r="Y53" s="14"/>
    </row>
    <row r="54" spans="2:35" x14ac:dyDescent="0.25">
      <c r="B54" s="220"/>
      <c r="C54" s="224" t="s">
        <v>327</v>
      </c>
      <c r="D54" s="224" t="s">
        <v>18</v>
      </c>
      <c r="E54" s="224" t="s">
        <v>42</v>
      </c>
      <c r="F54" s="161" t="str">
        <f>D54&amp;E54</f>
        <v>SubtransmissionAugmentation</v>
      </c>
      <c r="G54" s="524">
        <v>0</v>
      </c>
      <c r="H54" s="518"/>
      <c r="I54" s="252" t="s">
        <v>308</v>
      </c>
      <c r="J54" s="161"/>
      <c r="K54" s="213">
        <f>G54*H54</f>
        <v>0</v>
      </c>
      <c r="L54" s="213">
        <f>SUMPRODUCT(R$5:X$5,R54:X54)/Thousands</f>
        <v>0</v>
      </c>
      <c r="M54" s="291"/>
      <c r="N54" s="739"/>
      <c r="O54" s="739"/>
      <c r="P54" s="750"/>
      <c r="Q54" s="277"/>
      <c r="R54" s="310">
        <v>0</v>
      </c>
      <c r="S54" s="310">
        <v>0</v>
      </c>
      <c r="T54" s="310">
        <v>0</v>
      </c>
      <c r="U54" s="310">
        <v>0</v>
      </c>
      <c r="V54" s="310">
        <v>0</v>
      </c>
      <c r="W54" s="310">
        <v>0</v>
      </c>
      <c r="X54" s="310">
        <v>0</v>
      </c>
      <c r="Y54" s="14">
        <f>SUM(R54:X54)</f>
        <v>0</v>
      </c>
    </row>
    <row r="55" spans="2:35" x14ac:dyDescent="0.25">
      <c r="B55" s="220"/>
      <c r="C55" s="224" t="s">
        <v>332</v>
      </c>
      <c r="D55" s="161" t="str">
        <f>Unit_Rates!G43</f>
        <v>Subtransmission</v>
      </c>
      <c r="E55" s="161" t="str">
        <f>Unit_Rates!H43</f>
        <v>Augmentation</v>
      </c>
      <c r="F55" s="161" t="str">
        <f>D55&amp;E55</f>
        <v>SubtransmissionAugmentation</v>
      </c>
      <c r="G55" s="271">
        <f>Unit_Rates!$I$43</f>
        <v>123.95348837209301</v>
      </c>
      <c r="H55" s="518"/>
      <c r="I55" s="252" t="s">
        <v>308</v>
      </c>
      <c r="J55" s="161"/>
      <c r="K55" s="213">
        <f>G55*H55</f>
        <v>0</v>
      </c>
      <c r="L55" s="213">
        <f>SUMPRODUCT(R$5:X$5,R55:X55)/Thousands</f>
        <v>0</v>
      </c>
      <c r="M55" s="291"/>
      <c r="N55" s="739"/>
      <c r="O55" s="751"/>
      <c r="P55" s="750"/>
      <c r="Q55" s="317"/>
      <c r="R55" s="310">
        <v>0</v>
      </c>
      <c r="S55" s="310">
        <v>0</v>
      </c>
      <c r="T55" s="310">
        <v>0</v>
      </c>
      <c r="U55" s="310">
        <v>0</v>
      </c>
      <c r="V55" s="310">
        <v>0</v>
      </c>
      <c r="W55" s="310">
        <v>0</v>
      </c>
      <c r="X55" s="310">
        <v>0</v>
      </c>
      <c r="Y55" s="14">
        <f>SUM(R55:X55)</f>
        <v>0</v>
      </c>
    </row>
    <row r="56" spans="2:35" x14ac:dyDescent="0.25">
      <c r="B56" s="220"/>
      <c r="C56" s="639" t="s">
        <v>333</v>
      </c>
      <c r="D56" s="161" t="s">
        <v>18</v>
      </c>
      <c r="E56" s="264" t="s">
        <v>42</v>
      </c>
      <c r="F56" s="161" t="str">
        <f>D56&amp;E56</f>
        <v>SubtransmissionAugmentation</v>
      </c>
      <c r="G56" s="524">
        <v>2.2669008849557519</v>
      </c>
      <c r="H56" s="518">
        <v>1</v>
      </c>
      <c r="I56" s="252" t="s">
        <v>308</v>
      </c>
      <c r="J56" s="161"/>
      <c r="K56" s="213">
        <f>G56*H56</f>
        <v>2.2669008849557519</v>
      </c>
      <c r="L56" s="213">
        <f>SUMPRODUCT(R$5:X$5,R56:X56)/Thousands</f>
        <v>0</v>
      </c>
      <c r="M56" s="291"/>
      <c r="N56" s="739"/>
      <c r="O56" s="741"/>
      <c r="P56" s="750"/>
      <c r="Q56" s="277"/>
      <c r="R56" s="310">
        <v>0</v>
      </c>
      <c r="S56" s="310">
        <v>0</v>
      </c>
      <c r="T56" s="310">
        <v>0</v>
      </c>
      <c r="U56" s="310">
        <v>0</v>
      </c>
      <c r="V56" s="310">
        <v>0</v>
      </c>
      <c r="W56" s="310">
        <v>0</v>
      </c>
      <c r="X56" s="310">
        <v>0</v>
      </c>
      <c r="Y56" s="14">
        <f>SUM(R56:X56)</f>
        <v>0</v>
      </c>
    </row>
    <row r="57" spans="2:35" x14ac:dyDescent="0.25">
      <c r="B57" s="296" t="s">
        <v>300</v>
      </c>
      <c r="C57" s="639"/>
      <c r="D57" s="161" t="s">
        <v>18</v>
      </c>
      <c r="E57" s="264" t="s">
        <v>42</v>
      </c>
      <c r="F57" s="161" t="str">
        <f>D57&amp;E57</f>
        <v>SubtransmissionAugmentation</v>
      </c>
      <c r="G57" s="271">
        <v>13.142930973451325</v>
      </c>
      <c r="H57" s="518">
        <v>1</v>
      </c>
      <c r="I57" s="252" t="s">
        <v>308</v>
      </c>
      <c r="J57" s="161"/>
      <c r="K57" s="213">
        <f>G57*H57</f>
        <v>13.142930973451325</v>
      </c>
      <c r="L57" s="216">
        <f>SUMPRODUCT(R$5:X$5,R57:X57)/Thousands</f>
        <v>0</v>
      </c>
      <c r="M57" s="295"/>
      <c r="N57" s="739"/>
      <c r="O57" s="742"/>
      <c r="P57" s="750"/>
      <c r="Q57" s="277"/>
      <c r="R57" s="310">
        <v>0</v>
      </c>
      <c r="S57" s="310">
        <v>0</v>
      </c>
      <c r="T57" s="310">
        <v>0</v>
      </c>
      <c r="U57" s="310">
        <v>0</v>
      </c>
      <c r="V57" s="310">
        <v>0</v>
      </c>
      <c r="W57" s="310">
        <v>0</v>
      </c>
      <c r="X57" s="310">
        <v>0</v>
      </c>
      <c r="Y57" s="14">
        <f>SUM(R57:X57)</f>
        <v>0</v>
      </c>
    </row>
    <row r="58" spans="2:35" x14ac:dyDescent="0.25">
      <c r="B58" s="239" t="s">
        <v>284</v>
      </c>
      <c r="C58" s="224"/>
      <c r="D58" s="161" t="s">
        <v>211</v>
      </c>
      <c r="E58" s="264" t="s">
        <v>83</v>
      </c>
      <c r="F58" s="161" t="str">
        <f>D58&amp;E58</f>
        <v>LandNon-Network</v>
      </c>
      <c r="G58" s="271">
        <v>0</v>
      </c>
      <c r="H58" s="518"/>
      <c r="I58" s="252" t="s">
        <v>308</v>
      </c>
      <c r="J58" s="161"/>
      <c r="K58" s="216">
        <v>0</v>
      </c>
      <c r="L58" s="216">
        <f>SUMPRODUCT(R$5:X$5,R58:X58)/Thousands</f>
        <v>0</v>
      </c>
      <c r="M58" s="295"/>
      <c r="N58" s="752"/>
      <c r="O58" s="753"/>
      <c r="P58" s="750"/>
      <c r="Q58" s="19"/>
      <c r="R58" s="310">
        <v>0</v>
      </c>
      <c r="S58" s="310">
        <v>0</v>
      </c>
      <c r="T58" s="310">
        <v>0</v>
      </c>
      <c r="U58" s="310">
        <v>0</v>
      </c>
      <c r="V58" s="310">
        <v>0</v>
      </c>
      <c r="W58" s="310">
        <v>0</v>
      </c>
      <c r="X58" s="310">
        <v>0</v>
      </c>
      <c r="Y58" s="14">
        <f>SUM(R58:X58)</f>
        <v>0</v>
      </c>
    </row>
    <row r="59" spans="2:35" x14ac:dyDescent="0.25">
      <c r="B59" s="220"/>
      <c r="C59" s="161"/>
      <c r="D59" s="161"/>
      <c r="E59" s="161"/>
      <c r="F59" s="161"/>
      <c r="G59" s="559"/>
      <c r="H59" s="220"/>
      <c r="I59" s="212"/>
      <c r="J59" s="161"/>
      <c r="K59" s="217"/>
      <c r="L59" s="217"/>
      <c r="M59" s="217"/>
      <c r="N59" s="217"/>
      <c r="O59" s="217"/>
      <c r="P59" s="217"/>
    </row>
    <row r="60" spans="2:35" x14ac:dyDescent="0.25">
      <c r="B60" s="239" t="s">
        <v>298</v>
      </c>
      <c r="C60" s="161"/>
      <c r="D60" s="161"/>
      <c r="E60" s="161"/>
      <c r="F60" s="161"/>
      <c r="G60" s="559"/>
      <c r="H60" s="220"/>
      <c r="I60" s="212"/>
      <c r="J60" s="161"/>
      <c r="K60" s="302">
        <f t="shared" ref="K60:M60" si="9">SUM(K6:K58)</f>
        <v>3360.6874931769294</v>
      </c>
      <c r="L60" s="302">
        <f t="shared" si="9"/>
        <v>994.56408825102142</v>
      </c>
      <c r="M60" s="302">
        <f t="shared" si="9"/>
        <v>1132.0353982300883</v>
      </c>
      <c r="N60" s="302">
        <v>2917.7439336069078</v>
      </c>
      <c r="O60" s="302">
        <v>120.35207740796537</v>
      </c>
      <c r="P60" s="302">
        <v>8525.3829906729097</v>
      </c>
      <c r="Q60" s="168"/>
    </row>
    <row r="61" spans="2:35" x14ac:dyDescent="0.25">
      <c r="B61" s="247" t="s">
        <v>72</v>
      </c>
      <c r="C61" s="248"/>
      <c r="D61" s="248"/>
      <c r="E61" s="248"/>
      <c r="F61" s="248"/>
      <c r="G61" s="586"/>
      <c r="H61" s="247"/>
      <c r="I61" s="255"/>
      <c r="J61" s="248"/>
      <c r="K61" s="303">
        <f>K60-Direct_Capex_Totals!Q7</f>
        <v>0</v>
      </c>
      <c r="L61" s="304">
        <f>L60-Direct_Capex_Totals!R7</f>
        <v>0</v>
      </c>
      <c r="M61" s="304">
        <f>M60-Direct_Capex_Totals!S7</f>
        <v>0</v>
      </c>
      <c r="N61" s="304">
        <f>N60-Direct_Capex_Totals!T7</f>
        <v>0</v>
      </c>
      <c r="O61" s="304">
        <f>O60-Direct_Capex_Totals!U7</f>
        <v>0</v>
      </c>
      <c r="P61" s="305">
        <f>SUM(K61:O61)</f>
        <v>0</v>
      </c>
    </row>
    <row r="62" spans="2:35" ht="30" x14ac:dyDescent="0.25">
      <c r="B62" s="225" t="s">
        <v>278</v>
      </c>
      <c r="C62" s="226"/>
      <c r="D62" s="279"/>
      <c r="E62" s="279"/>
      <c r="F62" s="279"/>
      <c r="G62" s="568" t="s">
        <v>318</v>
      </c>
      <c r="H62" s="316" t="s">
        <v>281</v>
      </c>
      <c r="I62" s="18" t="s">
        <v>309</v>
      </c>
      <c r="J62" s="248"/>
      <c r="K62" s="18" t="s">
        <v>151</v>
      </c>
      <c r="L62" s="18" t="s">
        <v>306</v>
      </c>
      <c r="M62" s="261" t="s">
        <v>152</v>
      </c>
      <c r="N62" s="261" t="s">
        <v>153</v>
      </c>
      <c r="O62" s="18" t="s">
        <v>77</v>
      </c>
      <c r="P62" s="18" t="s">
        <v>307</v>
      </c>
    </row>
    <row r="63" spans="2:35" x14ac:dyDescent="0.25">
      <c r="B63" s="239"/>
      <c r="C63" s="161"/>
      <c r="D63" s="161"/>
      <c r="E63" s="161"/>
      <c r="F63" s="161"/>
      <c r="G63" s="559"/>
      <c r="H63" s="220"/>
      <c r="I63" s="212"/>
      <c r="J63" s="161"/>
      <c r="K63" s="223"/>
      <c r="L63" s="223"/>
      <c r="M63" s="223"/>
      <c r="N63" s="223"/>
      <c r="O63" s="223"/>
      <c r="P63" s="212"/>
    </row>
    <row r="64" spans="2:35" x14ac:dyDescent="0.25">
      <c r="B64" s="239" t="s">
        <v>17</v>
      </c>
      <c r="C64" s="161"/>
      <c r="D64" s="161"/>
      <c r="E64" s="161"/>
      <c r="F64" s="161"/>
      <c r="G64" s="559"/>
      <c r="H64" s="220"/>
      <c r="I64" s="212"/>
      <c r="J64" s="161"/>
      <c r="K64" s="223"/>
      <c r="L64" s="223"/>
      <c r="M64" s="223"/>
      <c r="N64" s="223"/>
      <c r="O64" s="223"/>
      <c r="P64" s="212"/>
      <c r="AI64" t="s">
        <v>472</v>
      </c>
    </row>
    <row r="65" spans="2:35" x14ac:dyDescent="0.25">
      <c r="B65" s="239"/>
      <c r="C65" s="270" t="s">
        <v>344</v>
      </c>
      <c r="D65" s="270" t="str">
        <f>IF($B$3="WYK2",Unit_Rates!G65,Unit_Rates!G66)</f>
        <v>Distribution system assets</v>
      </c>
      <c r="E65" s="270" t="str">
        <f>IF($B$3="WYK2",Unit_Rates!H65,Unit_Rates!H66)</f>
        <v>Augmentation</v>
      </c>
      <c r="F65" s="161" t="str">
        <f t="shared" ref="F65:F71" si="10">D65&amp;E65</f>
        <v>Distribution system assetsAugmentation</v>
      </c>
      <c r="G65" s="271">
        <v>0</v>
      </c>
      <c r="H65" s="430">
        <f>INDEX(Feeder_Vols!$E$7:$Q$13,MATCH($B$3,Feeder_Vols!$B$7:$B$12,0),MATCH(1,Feeder_Vols!$E$6:$Q$6,0))</f>
        <v>5</v>
      </c>
      <c r="I65" s="212" t="s">
        <v>313</v>
      </c>
      <c r="J65" s="270"/>
      <c r="K65" s="271"/>
      <c r="L65" s="271">
        <f t="shared" ref="L65:L71" si="11">SUMPRODUCT(R$5:X$5,R65:X65)/Thousands</f>
        <v>41.048020576842568</v>
      </c>
      <c r="M65" s="271">
        <f>$H65*IF($B$3="WYK2",Unit_Rates!K65,Unit_Rates!K66)</f>
        <v>90.659581395348837</v>
      </c>
      <c r="N65" s="271">
        <f>$H65*IF($B$3="WYK2",Unit_Rates!L65,Unit_Rates!L66)</f>
        <v>0</v>
      </c>
      <c r="O65" s="271">
        <f>$H65*IF($B$3="WYK2",Unit_Rates!M65,Unit_Rates!M66)</f>
        <v>0</v>
      </c>
      <c r="P65" s="216">
        <f t="shared" ref="P65:P71" si="12">SUM(K65:O65)</f>
        <v>131.70760197219141</v>
      </c>
      <c r="Q65" s="315"/>
      <c r="R65" s="628">
        <f>$AI65*Z65*$H65</f>
        <v>74.013157894736835</v>
      </c>
      <c r="S65" s="628">
        <f t="shared" ref="S65:S70" si="13">$AI65*AA65*$H65</f>
        <v>198.06338028169012</v>
      </c>
      <c r="T65" s="628">
        <f t="shared" ref="T65:T70" si="14">$AI65*AB65*$H65</f>
        <v>0</v>
      </c>
      <c r="U65" s="628">
        <f t="shared" ref="U65:U70" si="15">$AI65*AC65*$H65</f>
        <v>0</v>
      </c>
      <c r="V65" s="628">
        <f t="shared" ref="V65:V70" si="16">$AI65*AD65*$H65</f>
        <v>0</v>
      </c>
      <c r="W65" s="628">
        <f t="shared" ref="W65:W70" si="17">$AI65*AE65*$H65</f>
        <v>0</v>
      </c>
      <c r="X65" s="628">
        <f t="shared" ref="X65:X70" si="18">$AI65*AF65*$H65</f>
        <v>0</v>
      </c>
      <c r="Y65" s="14">
        <f t="shared" ref="Y65:Y91" si="19">SUM(R65:X65)</f>
        <v>272.07653817642694</v>
      </c>
      <c r="Z65" s="15">
        <v>0.27203065134099613</v>
      </c>
      <c r="AA65" s="15">
        <v>0.72796934865900376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6">
        <f t="shared" ref="AG65:AG70" si="20">SUM(Z65:AF65)</f>
        <v>0.99999999999999989</v>
      </c>
      <c r="AH65" t="b">
        <f t="shared" ref="AH65:AH70" si="21">AG65=1</f>
        <v>1</v>
      </c>
      <c r="AI65" s="365">
        <v>54.415307635285394</v>
      </c>
    </row>
    <row r="66" spans="2:35" x14ac:dyDescent="0.25">
      <c r="B66" s="239"/>
      <c r="C66" s="270" t="s">
        <v>247</v>
      </c>
      <c r="D66" s="270" t="str">
        <f>Unit_Rates!G67</f>
        <v>Distribution system assets</v>
      </c>
      <c r="E66" s="270" t="str">
        <f>Unit_Rates!H67</f>
        <v>Augmentation</v>
      </c>
      <c r="F66" s="161" t="str">
        <f t="shared" si="10"/>
        <v>Distribution system assetsAugmentation</v>
      </c>
      <c r="G66" s="742"/>
      <c r="H66" s="430">
        <f>INDEX(Feeder_Vols!$E$7:$Q$13,MATCH($B$3,Feeder_Vols!$B$7:$B$12,0),MATCH(2,Feeder_Vols!$E$6:$Q$6,0))</f>
        <v>0</v>
      </c>
      <c r="I66" s="212" t="s">
        <v>314</v>
      </c>
      <c r="J66" s="270"/>
      <c r="K66" s="742"/>
      <c r="L66" s="742"/>
      <c r="M66" s="742"/>
      <c r="N66" s="742"/>
      <c r="O66" s="742"/>
      <c r="P66" s="747"/>
      <c r="Q66" s="14"/>
      <c r="R66" s="748"/>
      <c r="S66" s="748"/>
      <c r="T66" s="748"/>
      <c r="U66" s="748"/>
      <c r="V66" s="748"/>
      <c r="W66" s="748"/>
      <c r="X66" s="748"/>
      <c r="Y66" s="744"/>
      <c r="Z66" s="749"/>
      <c r="AA66" s="749"/>
      <c r="AB66" s="15">
        <v>0.24322448098123187</v>
      </c>
      <c r="AC66" s="15">
        <v>0</v>
      </c>
      <c r="AD66" s="15">
        <v>0.1760177164995757</v>
      </c>
      <c r="AE66" s="15">
        <v>0.44004429124893918</v>
      </c>
      <c r="AF66" s="15">
        <v>0</v>
      </c>
      <c r="AG66" s="16">
        <f t="shared" si="20"/>
        <v>0.85928648872974678</v>
      </c>
      <c r="AH66" t="b">
        <f t="shared" si="21"/>
        <v>0</v>
      </c>
      <c r="AI66" s="792"/>
    </row>
    <row r="67" spans="2:35" x14ac:dyDescent="0.25">
      <c r="B67" s="239"/>
      <c r="C67" s="161" t="s">
        <v>251</v>
      </c>
      <c r="D67" s="270" t="str">
        <f>Unit_Rates!G68</f>
        <v>Distribution system assets</v>
      </c>
      <c r="E67" s="270" t="str">
        <f>Unit_Rates!H68</f>
        <v>Augmentation</v>
      </c>
      <c r="F67" s="161" t="str">
        <f t="shared" si="10"/>
        <v>Distribution system assetsAugmentation</v>
      </c>
      <c r="G67" s="742"/>
      <c r="H67" s="430">
        <f>INDEX(Feeder_Vols!$E$7:$Q$13,MATCH($B$3,Feeder_Vols!$B$7:$B$12,0),MATCH(3,Feeder_Vols!$E$6:$Q$6,0))</f>
        <v>1</v>
      </c>
      <c r="I67" s="212" t="s">
        <v>310</v>
      </c>
      <c r="J67" s="270"/>
      <c r="K67" s="742"/>
      <c r="L67" s="742"/>
      <c r="M67" s="742"/>
      <c r="N67" s="742"/>
      <c r="O67" s="742"/>
      <c r="P67" s="747"/>
      <c r="Q67" s="14"/>
      <c r="R67" s="748"/>
      <c r="S67" s="748"/>
      <c r="T67" s="748"/>
      <c r="U67" s="748"/>
      <c r="V67" s="748"/>
      <c r="W67" s="748"/>
      <c r="X67" s="748"/>
      <c r="Y67" s="744"/>
      <c r="Z67" s="749"/>
      <c r="AA67" s="749"/>
      <c r="AB67" s="15">
        <v>0.25101832039696309</v>
      </c>
      <c r="AC67" s="15">
        <v>0</v>
      </c>
      <c r="AD67" s="15">
        <v>0.18165799502411806</v>
      </c>
      <c r="AE67" s="15">
        <v>0.45414498756029509</v>
      </c>
      <c r="AF67" s="15">
        <v>0</v>
      </c>
      <c r="AG67" s="16">
        <f t="shared" si="20"/>
        <v>0.88682130298137629</v>
      </c>
      <c r="AH67" t="b">
        <f t="shared" si="21"/>
        <v>0</v>
      </c>
      <c r="AI67" s="792"/>
    </row>
    <row r="68" spans="2:35" x14ac:dyDescent="0.25">
      <c r="B68" s="239"/>
      <c r="C68" s="161" t="s">
        <v>253</v>
      </c>
      <c r="D68" s="270" t="str">
        <f>Unit_Rates!G69</f>
        <v>Distribution system assets</v>
      </c>
      <c r="E68" s="270" t="str">
        <f>Unit_Rates!H69</f>
        <v>Augmentation</v>
      </c>
      <c r="F68" s="161" t="str">
        <f t="shared" si="10"/>
        <v>Distribution system assetsAugmentation</v>
      </c>
      <c r="G68" s="742"/>
      <c r="H68" s="430">
        <f>INDEX(Feeder_Vols!$E$7:$Q$13,MATCH($B$3,Feeder_Vols!$B$7:$B$12,0),MATCH(4,Feeder_Vols!$E$6:$Q$6,0))</f>
        <v>43</v>
      </c>
      <c r="I68" s="253" t="s">
        <v>315</v>
      </c>
      <c r="J68" s="270"/>
      <c r="K68" s="742"/>
      <c r="L68" s="742"/>
      <c r="M68" s="742"/>
      <c r="N68" s="742"/>
      <c r="O68" s="742"/>
      <c r="P68" s="747"/>
      <c r="Q68" s="571"/>
      <c r="R68" s="748"/>
      <c r="S68" s="748"/>
      <c r="T68" s="748"/>
      <c r="U68" s="748"/>
      <c r="V68" s="748"/>
      <c r="W68" s="748"/>
      <c r="X68" s="748"/>
      <c r="Y68" s="744"/>
      <c r="Z68" s="749"/>
      <c r="AA68" s="749"/>
      <c r="AB68" s="15">
        <v>0.23284844579258887</v>
      </c>
      <c r="AC68" s="15">
        <v>0</v>
      </c>
      <c r="AD68" s="15">
        <v>0.16850874366568935</v>
      </c>
      <c r="AE68" s="15">
        <v>0.42127185916422333</v>
      </c>
      <c r="AF68" s="15">
        <v>0</v>
      </c>
      <c r="AG68" s="16">
        <f t="shared" si="20"/>
        <v>0.82262904862250164</v>
      </c>
      <c r="AH68" t="b">
        <f t="shared" si="21"/>
        <v>0</v>
      </c>
      <c r="AI68" s="792"/>
    </row>
    <row r="69" spans="2:35" x14ac:dyDescent="0.25">
      <c r="B69" s="239"/>
      <c r="C69" s="161" t="s">
        <v>249</v>
      </c>
      <c r="D69" s="270" t="str">
        <f>Unit_Rates!G70</f>
        <v>Distribution system assets</v>
      </c>
      <c r="E69" s="270" t="str">
        <f>Unit_Rates!H70</f>
        <v>Augmentation</v>
      </c>
      <c r="F69" s="161" t="str">
        <f t="shared" si="10"/>
        <v>Distribution system assetsAugmentation</v>
      </c>
      <c r="G69" s="271">
        <f>Unit_Rates!I70</f>
        <v>17.106573023255812</v>
      </c>
      <c r="H69" s="430">
        <f>INDEX(Feeder_Vols!$E$7:$Q$13,MATCH($B$3,Feeder_Vols!$B$7:$B$12,0),MATCH(5,Feeder_Vols!$E$6:$Q$6,0))</f>
        <v>14</v>
      </c>
      <c r="I69" s="253" t="s">
        <v>316</v>
      </c>
      <c r="J69" s="270"/>
      <c r="K69" s="271">
        <f t="shared" ref="K69:K74" si="22">G69*H69</f>
        <v>239.49202232558139</v>
      </c>
      <c r="L69" s="271">
        <f t="shared" si="11"/>
        <v>45.661280946102458</v>
      </c>
      <c r="M69" s="271">
        <f>$H69*Unit_Rates!K70</f>
        <v>0</v>
      </c>
      <c r="N69" s="271">
        <f>$H69*Unit_Rates!L70</f>
        <v>422.85364826325588</v>
      </c>
      <c r="O69" s="271">
        <f>$H69*Unit_Rates!M70</f>
        <v>53.621410546781561</v>
      </c>
      <c r="P69" s="216">
        <f t="shared" si="12"/>
        <v>761.62836208172132</v>
      </c>
      <c r="Q69" s="14">
        <f>P69-H69*Unit_Rates!$E$70</f>
        <v>1.1004632320823475</v>
      </c>
      <c r="R69" s="628">
        <f>$AI69*Z69*$H69</f>
        <v>0</v>
      </c>
      <c r="S69" s="628">
        <f t="shared" si="13"/>
        <v>19.599999999999994</v>
      </c>
      <c r="T69" s="628">
        <f t="shared" si="14"/>
        <v>74.576426816598271</v>
      </c>
      <c r="U69" s="628">
        <f t="shared" si="15"/>
        <v>0</v>
      </c>
      <c r="V69" s="628">
        <f t="shared" si="16"/>
        <v>53.969782564643488</v>
      </c>
      <c r="W69" s="628">
        <f t="shared" si="17"/>
        <v>134.9244564116087</v>
      </c>
      <c r="X69" s="628">
        <f t="shared" si="18"/>
        <v>0</v>
      </c>
      <c r="Y69" s="14">
        <f t="shared" si="19"/>
        <v>283.07066579285049</v>
      </c>
      <c r="Z69" s="15">
        <v>0</v>
      </c>
      <c r="AA69" s="15">
        <v>6.9240660967474346E-2</v>
      </c>
      <c r="AB69" s="15">
        <v>0.26345515741702774</v>
      </c>
      <c r="AC69" s="15">
        <v>0</v>
      </c>
      <c r="AD69" s="15">
        <v>0.19065833760442799</v>
      </c>
      <c r="AE69" s="15">
        <v>0.47664584401106991</v>
      </c>
      <c r="AF69" s="15">
        <v>0</v>
      </c>
      <c r="AG69" s="16">
        <f t="shared" si="20"/>
        <v>1</v>
      </c>
      <c r="AH69" t="b">
        <f t="shared" si="21"/>
        <v>1</v>
      </c>
      <c r="AI69" s="5">
        <v>20.21933327091789</v>
      </c>
    </row>
    <row r="70" spans="2:35" x14ac:dyDescent="0.25">
      <c r="B70" s="239"/>
      <c r="C70" s="270" t="s">
        <v>356</v>
      </c>
      <c r="D70" s="270" t="str">
        <f>Unit_Rates!G71</f>
        <v>Distribution system assets</v>
      </c>
      <c r="E70" s="270" t="str">
        <f>Unit_Rates!H71</f>
        <v>Augmentation</v>
      </c>
      <c r="F70" s="161" t="str">
        <f t="shared" si="10"/>
        <v>Distribution system assetsAugmentation</v>
      </c>
      <c r="G70" s="271">
        <f>Unit_Rates!I71</f>
        <v>0</v>
      </c>
      <c r="H70" s="430">
        <f>INDEX(Feeder_Vols!$E$7:$Q$13,MATCH($B$3,Feeder_Vols!$B$7:$B$12,0),MATCH(1,Feeder_Vols!$E$6:$Q$6,0))</f>
        <v>5</v>
      </c>
      <c r="I70" s="212" t="s">
        <v>313</v>
      </c>
      <c r="J70" s="270"/>
      <c r="K70" s="271">
        <f t="shared" si="22"/>
        <v>0</v>
      </c>
      <c r="L70" s="271">
        <f t="shared" si="11"/>
        <v>30.230978260869598</v>
      </c>
      <c r="M70" s="271">
        <f>$H70*Unit_Rates!K71</f>
        <v>0</v>
      </c>
      <c r="N70" s="271">
        <f>$H70*Unit_Rates!L71</f>
        <v>38.910616784630925</v>
      </c>
      <c r="O70" s="271">
        <f>$H70*Unit_Rates!M71</f>
        <v>0</v>
      </c>
      <c r="P70" s="216">
        <f t="shared" si="12"/>
        <v>69.141595045500523</v>
      </c>
      <c r="Q70" s="14">
        <f>P70-H70*Unit_Rates!$E$71</f>
        <v>-8.373356926183817E-2</v>
      </c>
      <c r="R70" s="628">
        <f>$AI70*Z70*$H70</f>
        <v>0</v>
      </c>
      <c r="S70" s="628">
        <f t="shared" si="13"/>
        <v>0</v>
      </c>
      <c r="T70" s="628">
        <f t="shared" si="14"/>
        <v>0</v>
      </c>
      <c r="U70" s="628">
        <f t="shared" si="15"/>
        <v>0</v>
      </c>
      <c r="V70" s="628">
        <f t="shared" si="16"/>
        <v>0</v>
      </c>
      <c r="W70" s="628">
        <f t="shared" si="17"/>
        <v>0</v>
      </c>
      <c r="X70" s="628">
        <f t="shared" si="18"/>
        <v>231.99067868198813</v>
      </c>
      <c r="Y70" s="14">
        <f t="shared" si="19"/>
        <v>231.99067868198813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1</v>
      </c>
      <c r="AG70" s="16">
        <f t="shared" si="20"/>
        <v>1</v>
      </c>
      <c r="AH70" t="b">
        <f t="shared" si="21"/>
        <v>1</v>
      </c>
      <c r="AI70" s="5">
        <v>46.398135736397627</v>
      </c>
    </row>
    <row r="71" spans="2:35" x14ac:dyDescent="0.25">
      <c r="B71" s="239"/>
      <c r="C71" s="326" t="s">
        <v>354</v>
      </c>
      <c r="D71" s="270" t="str">
        <f>Unit_Rates!G72</f>
        <v>Distribution system assets</v>
      </c>
      <c r="E71" s="270" t="str">
        <f>Unit_Rates!H72</f>
        <v>Replacement</v>
      </c>
      <c r="F71" s="161" t="str">
        <f t="shared" si="10"/>
        <v>Distribution system assetsReplacement</v>
      </c>
      <c r="G71" s="271">
        <f>Unit_Rates!I72</f>
        <v>0</v>
      </c>
      <c r="H71" s="430">
        <f>INDEX(Feeder_Vols!$E$7:$Q$13,MATCH($B$3,Feeder_Vols!$B$7:$B$12,0),MATCH(1,Feeder_Vols!$E$6:$N$6,0))+INDEX(Feeder_Vols!$E$7:$N$13,MATCH($B$3,Feeder_Vols!$B$7:$B$12,0),MATCH(6,Feeder_Vols!$E$6:$Q$6,0))</f>
        <v>29</v>
      </c>
      <c r="I71" s="212" t="s">
        <v>358</v>
      </c>
      <c r="J71" s="270"/>
      <c r="K71" s="271">
        <f t="shared" si="22"/>
        <v>0</v>
      </c>
      <c r="L71" s="271">
        <f t="shared" si="11"/>
        <v>0</v>
      </c>
      <c r="M71" s="271">
        <f>$H71*Unit_Rates!K72</f>
        <v>0</v>
      </c>
      <c r="N71" s="271">
        <f>$H71*Unit_Rates!L72</f>
        <v>15.097534883720929</v>
      </c>
      <c r="O71" s="271">
        <f>$H71*Unit_Rates!M72</f>
        <v>0</v>
      </c>
      <c r="P71" s="216">
        <f t="shared" si="12"/>
        <v>15.097534883720929</v>
      </c>
      <c r="Q71" s="11">
        <f>P71-H71*Unit_Rates!$E72</f>
        <v>0</v>
      </c>
      <c r="R71" s="313"/>
      <c r="S71" s="313"/>
      <c r="T71" s="313"/>
      <c r="U71" s="313"/>
      <c r="V71" s="313"/>
      <c r="W71" s="313"/>
      <c r="X71" s="313"/>
      <c r="Y71" s="14">
        <f t="shared" si="19"/>
        <v>0</v>
      </c>
      <c r="Z71" s="15"/>
      <c r="AA71" s="15"/>
      <c r="AB71" s="15"/>
      <c r="AC71" s="15"/>
      <c r="AD71" s="15"/>
      <c r="AE71" s="15"/>
      <c r="AF71" s="15"/>
      <c r="AI71" s="5">
        <v>0</v>
      </c>
    </row>
    <row r="72" spans="2:35" x14ac:dyDescent="0.25">
      <c r="B72" s="239"/>
      <c r="C72" s="326" t="s">
        <v>689</v>
      </c>
      <c r="D72" s="270" t="str">
        <f>Unit_Rates!G73</f>
        <v>Distribution system assets</v>
      </c>
      <c r="E72" s="270" t="str">
        <f>Unit_Rates!H73</f>
        <v>Replacement</v>
      </c>
      <c r="F72" s="161" t="str">
        <f>D72&amp;E72</f>
        <v>Distribution system assetsReplacement</v>
      </c>
      <c r="G72" s="271">
        <f>Unit_Rates!I73</f>
        <v>0</v>
      </c>
      <c r="H72" s="430">
        <f>INDEX(Feeder_Vols!$E$7:$Q$13,MATCH($B$3,Feeder_Vols!$B$7:$B$12,0),MATCH(7,Feeder_Vols!$E$6:$Q$6,0))</f>
        <v>13</v>
      </c>
      <c r="I72" s="212" t="s">
        <v>355</v>
      </c>
      <c r="J72" s="270"/>
      <c r="K72" s="271">
        <f t="shared" si="22"/>
        <v>0</v>
      </c>
      <c r="L72" s="271">
        <f>SUMPRODUCT(R$5:X$5,R72:X72)/Thousands</f>
        <v>2.0445374233676379</v>
      </c>
      <c r="M72" s="271">
        <f>$H72*Unit_Rates!K73</f>
        <v>0</v>
      </c>
      <c r="N72" s="271">
        <f>$H72*Unit_Rates!L73</f>
        <v>37.968728502325568</v>
      </c>
      <c r="O72" s="271">
        <f>$H72*Unit_Rates!M73</f>
        <v>0</v>
      </c>
      <c r="P72" s="216">
        <f>SUM(K72:O72)</f>
        <v>40.013265925693204</v>
      </c>
      <c r="Q72" s="14">
        <f>P72-H72*Unit_Rates!$E73</f>
        <v>9.9749933391692025E-2</v>
      </c>
      <c r="R72" s="628">
        <f t="shared" ref="R72:X73" si="23">$AI72*Z72*$H72</f>
        <v>0</v>
      </c>
      <c r="S72" s="628">
        <f t="shared" si="23"/>
        <v>0</v>
      </c>
      <c r="T72" s="628">
        <f t="shared" si="23"/>
        <v>0</v>
      </c>
      <c r="U72" s="628">
        <f t="shared" si="23"/>
        <v>0</v>
      </c>
      <c r="V72" s="628">
        <f t="shared" si="23"/>
        <v>0</v>
      </c>
      <c r="W72" s="628">
        <f t="shared" si="23"/>
        <v>0</v>
      </c>
      <c r="X72" s="628">
        <f t="shared" si="23"/>
        <v>15.689655172413794</v>
      </c>
      <c r="Y72" s="14">
        <f t="shared" si="19"/>
        <v>15.689655172413794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>SUM(Z72:AF72)</f>
        <v>1</v>
      </c>
      <c r="AH72" t="b">
        <f>AG72=1</f>
        <v>1</v>
      </c>
      <c r="AI72" s="5">
        <v>1.2068965517241379</v>
      </c>
    </row>
    <row r="73" spans="2:35" x14ac:dyDescent="0.25">
      <c r="B73" s="239"/>
      <c r="C73" s="326" t="s">
        <v>699</v>
      </c>
      <c r="D73" s="270" t="str">
        <f>Unit_Rates!G74</f>
        <v>Distribution system assets</v>
      </c>
      <c r="E73" s="270" t="str">
        <f>Unit_Rates!H74</f>
        <v>Augmentation</v>
      </c>
      <c r="F73" s="161" t="str">
        <f>D73&amp;E73</f>
        <v>Distribution system assetsAugmentation</v>
      </c>
      <c r="G73" s="271">
        <f>Unit_Rates!I74</f>
        <v>11.725162831858405</v>
      </c>
      <c r="H73" s="430">
        <f>INDEX(Feeder_Vols!$E$7:$Q$13,MATCH($B$3,Feeder_Vols!$B$7:$B$12,0),MATCH(8,Feeder_Vols!$E$6:$Q$6,0))</f>
        <v>20</v>
      </c>
      <c r="I73" s="212" t="s">
        <v>698</v>
      </c>
      <c r="J73" s="270"/>
      <c r="K73" s="271">
        <f t="shared" si="22"/>
        <v>234.50325663716811</v>
      </c>
      <c r="L73" s="271">
        <f>SUMPRODUCT(R$5:X$5,R73:X73)/Thousands</f>
        <v>60.000000000000007</v>
      </c>
      <c r="M73" s="271">
        <f>$H73*Unit_Rates!K74</f>
        <v>30</v>
      </c>
      <c r="N73" s="271">
        <f>$H73*Unit_Rates!L74</f>
        <v>400</v>
      </c>
      <c r="O73" s="271">
        <f>$H73*Unit_Rates!M74</f>
        <v>0</v>
      </c>
      <c r="P73" s="216">
        <f>SUM(K73:O73)</f>
        <v>724.50325663716808</v>
      </c>
      <c r="Q73" s="11">
        <f>P73-H73*Unit_Rates!$E74</f>
        <v>0</v>
      </c>
      <c r="R73" s="628">
        <f t="shared" si="23"/>
        <v>0</v>
      </c>
      <c r="S73" s="628">
        <f t="shared" si="23"/>
        <v>0</v>
      </c>
      <c r="T73" s="628">
        <f t="shared" si="23"/>
        <v>0</v>
      </c>
      <c r="U73" s="628">
        <f t="shared" si="23"/>
        <v>0</v>
      </c>
      <c r="V73" s="628">
        <f t="shared" si="23"/>
        <v>0</v>
      </c>
      <c r="W73" s="628">
        <f t="shared" si="23"/>
        <v>0</v>
      </c>
      <c r="X73" s="628">
        <f t="shared" si="23"/>
        <v>460.43633126276791</v>
      </c>
      <c r="Y73" s="14">
        <f t="shared" si="19"/>
        <v>460.43633126276791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1</v>
      </c>
      <c r="AG73" s="16">
        <f>SUM(Z73:AF73)</f>
        <v>1</v>
      </c>
      <c r="AH73" t="b">
        <f>AG73=1</f>
        <v>1</v>
      </c>
      <c r="AI73" s="5">
        <v>23.021816563138394</v>
      </c>
    </row>
    <row r="74" spans="2:35" x14ac:dyDescent="0.25">
      <c r="B74" s="239"/>
      <c r="C74" s="326" t="s">
        <v>692</v>
      </c>
      <c r="D74" s="270" t="str">
        <f>Unit_Rates!G75</f>
        <v>Distribution system assets</v>
      </c>
      <c r="E74" s="270" t="str">
        <f>Unit_Rates!H75</f>
        <v>Augmentation</v>
      </c>
      <c r="F74" s="161" t="str">
        <f>D74&amp;E74</f>
        <v>Distribution system assetsAugmentation</v>
      </c>
      <c r="G74" s="271">
        <f>Unit_Rates!I75</f>
        <v>21.323700104130506</v>
      </c>
      <c r="H74" s="430">
        <f>INDEX(Feeder_Vols!$E$7:$Q$13,MATCH($B$3,Feeder_Vols!$B$7:$B$12,0),MATCH(9,Feeder_Vols!$E$6:$Q$6,0))</f>
        <v>0</v>
      </c>
      <c r="I74" s="212" t="s">
        <v>691</v>
      </c>
      <c r="J74" s="270"/>
      <c r="K74" s="321">
        <f t="shared" si="22"/>
        <v>0</v>
      </c>
      <c r="L74" s="321">
        <f>SUMPRODUCT(R$5:X$5,R74:X74)/Thousands</f>
        <v>0</v>
      </c>
      <c r="M74" s="321">
        <f>$H74*Unit_Rates!K75</f>
        <v>0</v>
      </c>
      <c r="N74" s="321">
        <f>$H74*Unit_Rates!L75</f>
        <v>0</v>
      </c>
      <c r="O74" s="321">
        <f>$H74*Unit_Rates!M75</f>
        <v>0</v>
      </c>
      <c r="P74" s="217">
        <f>SUM(K74:O74)</f>
        <v>0</v>
      </c>
      <c r="Q74" s="11">
        <f>P74-H74*Unit_Rates!$E75</f>
        <v>0</v>
      </c>
      <c r="R74" s="628">
        <f t="shared" ref="R74:X74" si="24">$AI74*Z74*$H74</f>
        <v>0</v>
      </c>
      <c r="S74" s="628">
        <f t="shared" si="24"/>
        <v>0</v>
      </c>
      <c r="T74" s="628">
        <f t="shared" si="24"/>
        <v>0</v>
      </c>
      <c r="U74" s="628">
        <f t="shared" si="24"/>
        <v>0</v>
      </c>
      <c r="V74" s="628">
        <f t="shared" si="24"/>
        <v>0</v>
      </c>
      <c r="W74" s="628">
        <f t="shared" si="24"/>
        <v>0</v>
      </c>
      <c r="X74" s="628">
        <f t="shared" si="24"/>
        <v>0</v>
      </c>
      <c r="Y74" s="14">
        <f t="shared" si="19"/>
        <v>0</v>
      </c>
      <c r="Z74" s="15">
        <v>0.30314923274650013</v>
      </c>
      <c r="AA74" s="15">
        <v>0.32449777026385929</v>
      </c>
      <c r="AB74" s="15">
        <v>0.37235299698964064</v>
      </c>
      <c r="AC74" s="15">
        <v>0</v>
      </c>
      <c r="AD74" s="15">
        <v>0</v>
      </c>
      <c r="AE74" s="15">
        <v>0</v>
      </c>
      <c r="AF74" s="15">
        <v>0</v>
      </c>
      <c r="AG74" s="16">
        <f>SUM(Z74:AF74)</f>
        <v>1</v>
      </c>
      <c r="AH74" t="b">
        <f>AG74=1</f>
        <v>1</v>
      </c>
      <c r="AI74" s="5">
        <v>42.965971070585908</v>
      </c>
    </row>
    <row r="75" spans="2:35" x14ac:dyDescent="0.25">
      <c r="B75" s="239"/>
      <c r="C75" s="224" t="s">
        <v>317</v>
      </c>
      <c r="D75" s="224"/>
      <c r="E75" s="224"/>
      <c r="F75" s="224"/>
      <c r="G75" s="271"/>
      <c r="H75" s="219"/>
      <c r="I75" s="212"/>
      <c r="J75" s="161"/>
      <c r="K75" s="256">
        <v>473.99527896274947</v>
      </c>
      <c r="L75" s="256">
        <v>195.28018266430612</v>
      </c>
      <c r="M75" s="256">
        <v>142.85904431441128</v>
      </c>
      <c r="N75" s="256">
        <v>1098.0953989031764</v>
      </c>
      <c r="O75" s="256">
        <v>53.621410546781561</v>
      </c>
      <c r="P75" s="256">
        <v>1963.851315391425</v>
      </c>
      <c r="Q75" s="11"/>
      <c r="R75" s="309"/>
      <c r="S75" s="309"/>
      <c r="T75" s="309"/>
      <c r="U75" s="309"/>
      <c r="V75" s="309"/>
      <c r="W75" s="309"/>
      <c r="X75" s="309"/>
      <c r="Y75" s="14"/>
      <c r="AI75" s="5"/>
    </row>
    <row r="76" spans="2:35" x14ac:dyDescent="0.25">
      <c r="B76" s="239" t="s">
        <v>311</v>
      </c>
      <c r="C76" s="161"/>
      <c r="D76" s="161"/>
      <c r="E76" s="161"/>
      <c r="F76" s="161"/>
      <c r="G76" s="570"/>
      <c r="H76" s="219"/>
      <c r="I76" s="212"/>
      <c r="J76" s="161"/>
      <c r="K76" s="256"/>
      <c r="L76" s="256"/>
      <c r="M76" s="256"/>
      <c r="N76" s="256"/>
      <c r="O76" s="256"/>
      <c r="P76" s="216"/>
      <c r="R76" s="309"/>
      <c r="S76" s="309"/>
      <c r="T76" s="309"/>
      <c r="U76" s="309"/>
      <c r="V76" s="309"/>
      <c r="W76" s="309"/>
      <c r="X76" s="309"/>
      <c r="Y76" s="14"/>
      <c r="AI76" s="5"/>
    </row>
    <row r="77" spans="2:35" x14ac:dyDescent="0.25">
      <c r="B77" s="239"/>
      <c r="C77" s="161" t="s">
        <v>280</v>
      </c>
      <c r="D77" s="161" t="str">
        <f>Unit_Rates!G83</f>
        <v>Distribution system assets</v>
      </c>
      <c r="E77" s="161" t="str">
        <f>Unit_Rates!H83</f>
        <v>Replacement</v>
      </c>
      <c r="F77" s="161" t="str">
        <f>D77&amp;E77</f>
        <v>Distribution system assetsReplacement</v>
      </c>
      <c r="G77" s="570">
        <f>Unit_Rates!I83</f>
        <v>0.30495261811294533</v>
      </c>
      <c r="H77" s="431">
        <f>INDEX(Feeder_Vols!$B$18:$D$23,MATCH($B$3,Feeder_Vols!$B$18:$B$23,0),3)</f>
        <v>511</v>
      </c>
      <c r="I77" s="254" t="s">
        <v>308</v>
      </c>
      <c r="J77" s="161"/>
      <c r="K77" s="256">
        <f>G77*H77</f>
        <v>155.83078785571507</v>
      </c>
      <c r="L77" s="256">
        <f>SUMPRODUCT(R$5:X$5,R77:X77)/Thousands</f>
        <v>79.706629453602986</v>
      </c>
      <c r="M77" s="256">
        <f>$H77*Unit_Rates!K83</f>
        <v>0</v>
      </c>
      <c r="N77" s="256">
        <f>$H77*Unit_Rates!L83</f>
        <v>298.55318576269059</v>
      </c>
      <c r="O77" s="256">
        <f>$H77*Unit_Rates!M83</f>
        <v>0</v>
      </c>
      <c r="P77" s="216">
        <f>SUM(K77:O77)</f>
        <v>534.09060307200866</v>
      </c>
      <c r="Q77" s="277">
        <f>P77-H77*Unit_Rates!$E$83</f>
        <v>1.6915001219048236</v>
      </c>
      <c r="R77" s="628">
        <f t="shared" ref="R77:X77" si="25">$AI77*Z77*$H77</f>
        <v>14.198661352314577</v>
      </c>
      <c r="S77" s="628">
        <f t="shared" si="25"/>
        <v>0</v>
      </c>
      <c r="T77" s="628">
        <f t="shared" si="25"/>
        <v>177.24028082353297</v>
      </c>
      <c r="U77" s="628">
        <f t="shared" si="25"/>
        <v>0</v>
      </c>
      <c r="V77" s="628">
        <f t="shared" si="25"/>
        <v>0</v>
      </c>
      <c r="W77" s="628">
        <f t="shared" si="25"/>
        <v>0</v>
      </c>
      <c r="X77" s="628">
        <f t="shared" si="25"/>
        <v>360.44105782415255</v>
      </c>
      <c r="Y77" s="14">
        <f t="shared" si="19"/>
        <v>551.88000000000011</v>
      </c>
      <c r="Z77" s="15">
        <v>2.5727805595989302E-2</v>
      </c>
      <c r="AA77" s="15">
        <v>0</v>
      </c>
      <c r="AB77" s="15">
        <v>0.32115728206047139</v>
      </c>
      <c r="AC77" s="15">
        <v>0</v>
      </c>
      <c r="AD77" s="15">
        <v>0</v>
      </c>
      <c r="AE77" s="15">
        <v>0</v>
      </c>
      <c r="AF77" s="15">
        <v>0.65311491234353936</v>
      </c>
      <c r="AG77" s="16">
        <f>SUM(Z77:AF77)</f>
        <v>1</v>
      </c>
      <c r="AH77" t="b">
        <f>AG77=1</f>
        <v>1</v>
      </c>
      <c r="AI77" s="5">
        <v>1.08</v>
      </c>
    </row>
    <row r="78" spans="2:35" x14ac:dyDescent="0.25">
      <c r="B78" s="239"/>
      <c r="C78" s="161" t="s">
        <v>495</v>
      </c>
      <c r="D78" s="161" t="str">
        <f>Unit_Rates!G84</f>
        <v>Distribution system assets</v>
      </c>
      <c r="E78" s="161" t="str">
        <f>Unit_Rates!H84</f>
        <v>Replacement</v>
      </c>
      <c r="F78" s="161" t="str">
        <f>D78&amp;E78</f>
        <v>Distribution system assetsReplacement</v>
      </c>
      <c r="G78" s="271">
        <f>INDEX(Unit_Rates!$C$82:$K$87,MATCH($C78,Unit_Rates!$D$82:$D$87,0),7)</f>
        <v>0</v>
      </c>
      <c r="H78" s="431">
        <f>INDEX(Feeder_Vols!$H$18:$H$23,MATCH($B$3,Feeder_Vols!$G$18:$G$23,0),1)</f>
        <v>4</v>
      </c>
      <c r="I78" s="254" t="s">
        <v>308</v>
      </c>
      <c r="J78" s="161"/>
      <c r="K78" s="256">
        <f>G78*H78</f>
        <v>0</v>
      </c>
      <c r="L78" s="256">
        <f>SUMPRODUCT(R$5:X$5,R78:X78)/Thousands</f>
        <v>1.1714808043875695</v>
      </c>
      <c r="M78" s="256">
        <f>$H78*Unit_Rates!K83</f>
        <v>0</v>
      </c>
      <c r="N78" s="256">
        <f>$H78*Unit_Rates!$L$84</f>
        <v>0</v>
      </c>
      <c r="O78" s="256">
        <f>$H78*Unit_Rates!M83</f>
        <v>0</v>
      </c>
      <c r="P78" s="216">
        <f>SUM(K78:O78)</f>
        <v>1.1714808043875695</v>
      </c>
      <c r="Q78" s="14">
        <f>P78-H78*Unit_Rates!$E$84</f>
        <v>-6.4197480986183386E-3</v>
      </c>
      <c r="R78" s="628">
        <f t="shared" ref="R78:X79" si="26">$AI78*Z78*$H78</f>
        <v>0</v>
      </c>
      <c r="S78" s="628">
        <f t="shared" si="26"/>
        <v>0</v>
      </c>
      <c r="T78" s="628">
        <f t="shared" si="26"/>
        <v>0</v>
      </c>
      <c r="U78" s="628">
        <f t="shared" si="26"/>
        <v>0</v>
      </c>
      <c r="V78" s="628">
        <f t="shared" si="26"/>
        <v>7.3929868930505585</v>
      </c>
      <c r="W78" s="628">
        <f t="shared" si="26"/>
        <v>0</v>
      </c>
      <c r="X78" s="628">
        <f t="shared" si="26"/>
        <v>0</v>
      </c>
      <c r="Y78" s="14">
        <f t="shared" si="19"/>
        <v>7.3929868930505585</v>
      </c>
      <c r="Z78" s="15"/>
      <c r="AA78" s="15"/>
      <c r="AB78" s="15"/>
      <c r="AC78" s="15"/>
      <c r="AD78" s="15">
        <v>1</v>
      </c>
      <c r="AE78" s="15"/>
      <c r="AF78" s="15"/>
      <c r="AG78" s="16">
        <f>SUM(Z78:AF78)</f>
        <v>1</v>
      </c>
      <c r="AH78" t="b">
        <f>AG78=1</f>
        <v>1</v>
      </c>
      <c r="AI78" s="47">
        <v>1.8482467232626396</v>
      </c>
    </row>
    <row r="79" spans="2:35" x14ac:dyDescent="0.25">
      <c r="B79" s="239"/>
      <c r="C79" s="161" t="s">
        <v>496</v>
      </c>
      <c r="D79" s="161" t="str">
        <f>Unit_Rates!G85</f>
        <v>Distribution system assets</v>
      </c>
      <c r="E79" s="161" t="str">
        <f>Unit_Rates!H85</f>
        <v>Replacement</v>
      </c>
      <c r="F79" s="161" t="str">
        <f>D79&amp;E79</f>
        <v>Distribution system assetsReplacement</v>
      </c>
      <c r="G79" s="271">
        <f>INDEX(Unit_Rates!$C$82:$K$87,MATCH($C79,Unit_Rates!$D$82:$D$87,0),7)</f>
        <v>0</v>
      </c>
      <c r="H79" s="431">
        <f>INDEX(Feeder_Vols!$I$18:$I$23,MATCH($B$3,Feeder_Vols!$G$18:$G$23,0),1)</f>
        <v>4</v>
      </c>
      <c r="I79" s="254" t="s">
        <v>308</v>
      </c>
      <c r="J79" s="161"/>
      <c r="K79" s="256">
        <f>G79*H79</f>
        <v>0</v>
      </c>
      <c r="L79" s="256">
        <f>SUMPRODUCT(R$5:X$5,R79:X79)/Thousands</f>
        <v>39.049360146252269</v>
      </c>
      <c r="M79" s="256"/>
      <c r="N79" s="256">
        <f>$H79*Unit_Rates!$L$85</f>
        <v>0</v>
      </c>
      <c r="O79" s="256"/>
      <c r="P79" s="216">
        <f>SUM(K79:O79)</f>
        <v>39.049360146252269</v>
      </c>
      <c r="Q79" s="14">
        <f>P79-H79*Unit_Rates!$E$85</f>
        <v>-0.21399160328732592</v>
      </c>
      <c r="R79" s="628">
        <f t="shared" si="26"/>
        <v>0</v>
      </c>
      <c r="S79" s="628">
        <f t="shared" si="26"/>
        <v>0</v>
      </c>
      <c r="T79" s="628">
        <f t="shared" si="26"/>
        <v>0</v>
      </c>
      <c r="U79" s="628">
        <f t="shared" si="26"/>
        <v>0</v>
      </c>
      <c r="V79" s="628">
        <f t="shared" si="26"/>
        <v>246.43289643501831</v>
      </c>
      <c r="W79" s="628">
        <f t="shared" si="26"/>
        <v>0</v>
      </c>
      <c r="X79" s="628">
        <f t="shared" si="26"/>
        <v>0</v>
      </c>
      <c r="Y79" s="14">
        <f t="shared" si="19"/>
        <v>246.43289643501831</v>
      </c>
      <c r="Z79" s="15"/>
      <c r="AA79" s="15"/>
      <c r="AB79" s="15"/>
      <c r="AC79" s="15"/>
      <c r="AD79" s="15">
        <v>1</v>
      </c>
      <c r="AE79" s="15"/>
      <c r="AF79" s="15"/>
      <c r="AG79" s="16">
        <f>SUM(Z79:AF79)</f>
        <v>1</v>
      </c>
      <c r="AH79" t="b">
        <f>AG79=1</f>
        <v>1</v>
      </c>
      <c r="AI79" s="47">
        <v>61.608224108754577</v>
      </c>
    </row>
    <row r="80" spans="2:35" x14ac:dyDescent="0.25">
      <c r="B80" s="239"/>
      <c r="C80" s="161" t="s">
        <v>497</v>
      </c>
      <c r="D80" s="161" t="str">
        <f>Unit_Rates!G86</f>
        <v>Distribution system assets</v>
      </c>
      <c r="E80" s="161" t="str">
        <f>Unit_Rates!H86</f>
        <v>Replacement</v>
      </c>
      <c r="F80" s="161" t="str">
        <f>D80&amp;E80</f>
        <v>Distribution system assetsReplacement</v>
      </c>
      <c r="G80" s="271">
        <f>INDEX(Unit_Rates!$C$82:$K$87,MATCH($C80,Unit_Rates!$D$82:$D$87,0),7)</f>
        <v>4.9079189686924494</v>
      </c>
      <c r="H80" s="431">
        <f>INDEX(Feeder_Vols!$J$18:$J$23,MATCH($B$3,Feeder_Vols!$G$18:$G$23,0),1)</f>
        <v>4</v>
      </c>
      <c r="I80" s="254" t="s">
        <v>308</v>
      </c>
      <c r="J80" s="161"/>
      <c r="K80" s="256">
        <f>G80*H80</f>
        <v>19.631675874769797</v>
      </c>
      <c r="L80" s="256">
        <f>SUMPRODUCT(R$5:X$5,R80:X80)/Thousands</f>
        <v>0</v>
      </c>
      <c r="M80" s="256"/>
      <c r="N80" s="256">
        <f>$H80*Unit_Rates!$L$86</f>
        <v>63.802946593001842</v>
      </c>
      <c r="O80" s="256"/>
      <c r="P80" s="216">
        <f>SUM(K80:O80)</f>
        <v>83.434622467771646</v>
      </c>
      <c r="Q80" s="11">
        <f>P80-H80*Unit_Rates!$E$86</f>
        <v>0</v>
      </c>
      <c r="R80" s="313"/>
      <c r="S80" s="313"/>
      <c r="T80" s="313"/>
      <c r="U80" s="313"/>
      <c r="V80" s="313"/>
      <c r="W80" s="313"/>
      <c r="X80" s="313"/>
      <c r="Y80" s="14">
        <f t="shared" si="19"/>
        <v>0</v>
      </c>
      <c r="Z80" s="15"/>
      <c r="AA80" s="15"/>
      <c r="AB80" s="15"/>
      <c r="AC80" s="15"/>
      <c r="AD80" s="15"/>
      <c r="AE80" s="15"/>
      <c r="AF80" s="15"/>
      <c r="AG80" s="16"/>
      <c r="AI80" s="5"/>
    </row>
    <row r="81" spans="2:35" x14ac:dyDescent="0.25">
      <c r="B81" s="239"/>
      <c r="C81" s="161" t="s">
        <v>523</v>
      </c>
      <c r="D81" s="161" t="str">
        <f>Unit_Rates!G87</f>
        <v>Distribution system assets</v>
      </c>
      <c r="E81" s="161" t="str">
        <f>Unit_Rates!H87</f>
        <v>Replacement</v>
      </c>
      <c r="F81" s="161" t="str">
        <f>D81&amp;E81</f>
        <v>Distribution system assetsReplacement</v>
      </c>
      <c r="G81" s="271">
        <f>INDEX(Unit_Rates!$C$82:$K$87,MATCH($C81,Unit_Rates!$D$82:$D$87,0),7)</f>
        <v>4.7168141592920348E-2</v>
      </c>
      <c r="H81" s="431">
        <f>INDEX(Feeder_Vols!$K$18:$K$23,MATCH($B$3,Feeder_Vols!$G$18:$G$23,0),1)</f>
        <v>395</v>
      </c>
      <c r="I81" s="254" t="s">
        <v>494</v>
      </c>
      <c r="J81" s="161"/>
      <c r="K81" s="256">
        <f>G81*H81</f>
        <v>18.631415929203538</v>
      </c>
      <c r="L81" s="256">
        <f>SUMPRODUCT(R$5:X$5,R81:X81)/Thousands</f>
        <v>0</v>
      </c>
      <c r="M81" s="256"/>
      <c r="N81" s="256">
        <f>$H81*Unit_Rates!$L$87</f>
        <v>181.17330274854675</v>
      </c>
      <c r="O81" s="256"/>
      <c r="P81" s="216">
        <f>SUM(K81:O81)</f>
        <v>199.80471867775029</v>
      </c>
      <c r="Q81" s="11">
        <f>P81-H81*Unit_Rates!$E$87</f>
        <v>0</v>
      </c>
      <c r="R81" s="313"/>
      <c r="S81" s="313"/>
      <c r="T81" s="313"/>
      <c r="U81" s="313"/>
      <c r="V81" s="313"/>
      <c r="W81" s="313"/>
      <c r="X81" s="313"/>
      <c r="Y81" s="14">
        <f t="shared" si="19"/>
        <v>0</v>
      </c>
      <c r="Z81" s="15"/>
      <c r="AA81" s="15"/>
      <c r="AB81" s="15"/>
      <c r="AC81" s="15"/>
      <c r="AD81" s="15"/>
      <c r="AE81" s="15"/>
      <c r="AF81" s="15"/>
      <c r="AG81" s="16"/>
      <c r="AI81" s="5"/>
    </row>
    <row r="82" spans="2:35" x14ac:dyDescent="0.25">
      <c r="B82" s="239" t="s">
        <v>46</v>
      </c>
      <c r="C82" s="161"/>
      <c r="D82" s="161"/>
      <c r="E82" s="161"/>
      <c r="F82" s="161"/>
      <c r="G82" s="570"/>
      <c r="H82" s="219"/>
      <c r="I82" s="212"/>
      <c r="J82" s="161"/>
      <c r="K82" s="256"/>
      <c r="L82" s="256"/>
      <c r="M82" s="256"/>
      <c r="N82" s="256"/>
      <c r="O82" s="256"/>
      <c r="P82" s="216"/>
      <c r="R82" s="312"/>
      <c r="S82" s="309"/>
      <c r="T82" s="309"/>
      <c r="U82" s="309"/>
      <c r="V82" s="309"/>
      <c r="W82" s="309"/>
      <c r="X82" s="309"/>
      <c r="Y82" s="14"/>
      <c r="Z82" s="15"/>
      <c r="AA82" s="15"/>
      <c r="AB82" s="15"/>
      <c r="AC82" s="15"/>
      <c r="AD82" s="15"/>
      <c r="AE82" s="15"/>
      <c r="AF82" s="15"/>
      <c r="AI82" s="5"/>
    </row>
    <row r="83" spans="2:35" x14ac:dyDescent="0.25">
      <c r="B83" s="239"/>
      <c r="C83" s="161" t="s">
        <v>237</v>
      </c>
      <c r="D83" s="161" t="str">
        <f>Unit_Rates!G93</f>
        <v>Distribution system assets</v>
      </c>
      <c r="E83" s="161" t="str">
        <f>Unit_Rates!H93</f>
        <v>Replacement</v>
      </c>
      <c r="F83" s="161" t="str">
        <f>D83&amp;E83</f>
        <v>Distribution system assetsReplacement</v>
      </c>
      <c r="G83" s="570">
        <f>Unit_Rates!I93</f>
        <v>14.150442477876103</v>
      </c>
      <c r="H83" s="432">
        <f>INDEX(Feeder_Vols!$C$29:$F$34,MATCH($B$3,Feeder_Vols!$B$29:$B$34,0),1)</f>
        <v>1</v>
      </c>
      <c r="I83" s="252" t="s">
        <v>308</v>
      </c>
      <c r="J83" s="161"/>
      <c r="K83" s="256">
        <f>G83*H83</f>
        <v>14.150442477876103</v>
      </c>
      <c r="L83" s="256">
        <f>SUMPRODUCT(R$5:X$5,R83:X83)/Thousands</f>
        <v>2.3089563327230636</v>
      </c>
      <c r="M83" s="256">
        <f>$H83*Unit_Rates!K93</f>
        <v>4.403199256673541</v>
      </c>
      <c r="N83" s="256">
        <f>$H83*Unit_Rates!L93</f>
        <v>30.144610829083657</v>
      </c>
      <c r="O83" s="256">
        <f>$H83*Unit_Rates!M93</f>
        <v>0</v>
      </c>
      <c r="P83" s="216">
        <f>SUM(K83:O83)</f>
        <v>51.007208896356367</v>
      </c>
      <c r="Q83" s="277">
        <f>P83-(H83*Unit_Rates!$E$93)</f>
        <v>9.0277749775538041E-3</v>
      </c>
      <c r="R83" s="628">
        <f t="shared" ref="R83:X86" si="27">$AI83*Z83*$H83</f>
        <v>4.3714119362045327</v>
      </c>
      <c r="S83" s="628">
        <f t="shared" si="27"/>
        <v>4.6792578472048518</v>
      </c>
      <c r="T83" s="628">
        <f t="shared" si="27"/>
        <v>5.369330216590618</v>
      </c>
      <c r="U83" s="628">
        <f t="shared" si="27"/>
        <v>0</v>
      </c>
      <c r="V83" s="628">
        <f t="shared" si="27"/>
        <v>0</v>
      </c>
      <c r="W83" s="628">
        <f t="shared" si="27"/>
        <v>0</v>
      </c>
      <c r="X83" s="628">
        <f t="shared" si="27"/>
        <v>0</v>
      </c>
      <c r="Y83" s="14">
        <f t="shared" si="19"/>
        <v>14.420000000000002</v>
      </c>
      <c r="Z83" s="15">
        <v>0.30314923274650013</v>
      </c>
      <c r="AA83" s="15">
        <v>0.32449777026385929</v>
      </c>
      <c r="AB83" s="15">
        <v>0.37235299698964058</v>
      </c>
      <c r="AC83" s="15">
        <v>0</v>
      </c>
      <c r="AD83" s="15">
        <v>0</v>
      </c>
      <c r="AE83" s="15">
        <v>0</v>
      </c>
      <c r="AF83" s="15">
        <v>0</v>
      </c>
      <c r="AG83" s="16">
        <f>SUM(Z83:AF83)</f>
        <v>1</v>
      </c>
      <c r="AH83" t="b">
        <f t="shared" ref="AH83:AH91" si="28">AG83=1</f>
        <v>1</v>
      </c>
      <c r="AI83" s="5">
        <v>14.420000000000002</v>
      </c>
    </row>
    <row r="84" spans="2:35" x14ac:dyDescent="0.25">
      <c r="B84" s="239"/>
      <c r="C84" s="161" t="s">
        <v>239</v>
      </c>
      <c r="D84" s="161" t="str">
        <f>Unit_Rates!G94</f>
        <v>Distribution system assets</v>
      </c>
      <c r="E84" s="161" t="str">
        <f>Unit_Rates!H94</f>
        <v>Replacement</v>
      </c>
      <c r="F84" s="161" t="str">
        <f>D84&amp;E84</f>
        <v>Distribution system assetsReplacement</v>
      </c>
      <c r="G84" s="570">
        <f>Unit_Rates!I94</f>
        <v>21.323700104130506</v>
      </c>
      <c r="H84" s="432">
        <f>INDEX(Feeder_Vols!$C$29:$F$34,MATCH($B$3,Feeder_Vols!$B$29:$B$34,0),2)</f>
        <v>5</v>
      </c>
      <c r="I84" s="252" t="s">
        <v>308</v>
      </c>
      <c r="J84" s="161"/>
      <c r="K84" s="256">
        <f>G84*H84</f>
        <v>106.61850052065253</v>
      </c>
      <c r="L84" s="256">
        <f>SUMPRODUCT(R$5:X$5,R84:X84)/Thousands</f>
        <v>34.398942786069789</v>
      </c>
      <c r="M84" s="256">
        <f>$H84*Unit_Rates!K94</f>
        <v>21.950867754251991</v>
      </c>
      <c r="N84" s="256">
        <f>$H84*Unit_Rates!L94</f>
        <v>119.16185352308221</v>
      </c>
      <c r="O84" s="256">
        <f>$H84*Unit_Rates!M94</f>
        <v>31.358382506074271</v>
      </c>
      <c r="P84" s="216">
        <f>SUM(K84:O84)</f>
        <v>313.48854709013079</v>
      </c>
      <c r="Q84" s="19">
        <f>P84-(H84*Unit_Rates!$E$94)</f>
        <v>-9.5277970611903129E-2</v>
      </c>
      <c r="R84" s="628">
        <f t="shared" si="27"/>
        <v>65.125505821282189</v>
      </c>
      <c r="S84" s="628">
        <f t="shared" si="27"/>
        <v>69.711809048133063</v>
      </c>
      <c r="T84" s="628">
        <f t="shared" si="27"/>
        <v>79.992540483514304</v>
      </c>
      <c r="U84" s="628">
        <f t="shared" si="27"/>
        <v>0</v>
      </c>
      <c r="V84" s="628">
        <f t="shared" si="27"/>
        <v>0</v>
      </c>
      <c r="W84" s="628">
        <f t="shared" si="27"/>
        <v>0</v>
      </c>
      <c r="X84" s="628">
        <f t="shared" si="27"/>
        <v>0</v>
      </c>
      <c r="Y84" s="14">
        <f t="shared" si="19"/>
        <v>214.82985535292954</v>
      </c>
      <c r="Z84" s="15">
        <v>0.30314923274650013</v>
      </c>
      <c r="AA84" s="15">
        <v>0.32449777026385929</v>
      </c>
      <c r="AB84" s="15">
        <v>0.37235299698964064</v>
      </c>
      <c r="AC84" s="15">
        <v>0</v>
      </c>
      <c r="AD84" s="15">
        <v>0</v>
      </c>
      <c r="AE84" s="15">
        <v>0</v>
      </c>
      <c r="AF84" s="15">
        <v>0</v>
      </c>
      <c r="AG84" s="16">
        <f>SUM(Z84:AF84)</f>
        <v>1</v>
      </c>
      <c r="AH84" t="b">
        <f t="shared" si="28"/>
        <v>1</v>
      </c>
      <c r="AI84" s="5">
        <v>42.965971070585908</v>
      </c>
    </row>
    <row r="85" spans="2:35" x14ac:dyDescent="0.25">
      <c r="B85" s="239"/>
      <c r="C85" s="161" t="s">
        <v>241</v>
      </c>
      <c r="D85" s="161" t="str">
        <f>Unit_Rates!G95</f>
        <v>Distribution system assets</v>
      </c>
      <c r="E85" s="161" t="str">
        <f>Unit_Rates!H95</f>
        <v>Replacement</v>
      </c>
      <c r="F85" s="161" t="str">
        <f>D85&amp;E85</f>
        <v>Distribution system assetsReplacement</v>
      </c>
      <c r="G85" s="570">
        <f>Unit_Rates!I95</f>
        <v>14.297621705426357</v>
      </c>
      <c r="H85" s="432">
        <f>INDEX(Feeder_Vols!$C$29:$F$34,MATCH($B$3,Feeder_Vols!$B$29:$B$34,0),3)</f>
        <v>0</v>
      </c>
      <c r="I85" s="252" t="s">
        <v>308</v>
      </c>
      <c r="J85" s="161"/>
      <c r="K85" s="256">
        <f>G85*H85</f>
        <v>0</v>
      </c>
      <c r="L85" s="256">
        <f>SUMPRODUCT(R$5:X$5,R85:X85)/Thousands</f>
        <v>0</v>
      </c>
      <c r="M85" s="256">
        <f>$H85*Unit_Rates!K95</f>
        <v>0</v>
      </c>
      <c r="N85" s="256">
        <f>$H85*Unit_Rates!L95</f>
        <v>0</v>
      </c>
      <c r="O85" s="256">
        <f>$H85*Unit_Rates!M95</f>
        <v>0</v>
      </c>
      <c r="P85" s="216">
        <f>SUM(K85:O85)</f>
        <v>0</v>
      </c>
      <c r="Q85" s="19">
        <f>P85-(H85*Unit_Rates!$E$95)</f>
        <v>0</v>
      </c>
      <c r="R85" s="628">
        <f t="shared" si="27"/>
        <v>0</v>
      </c>
      <c r="S85" s="628">
        <f t="shared" si="27"/>
        <v>0</v>
      </c>
      <c r="T85" s="628">
        <f t="shared" si="27"/>
        <v>0</v>
      </c>
      <c r="U85" s="628">
        <f t="shared" si="27"/>
        <v>0</v>
      </c>
      <c r="V85" s="628">
        <f t="shared" si="27"/>
        <v>0</v>
      </c>
      <c r="W85" s="628">
        <f t="shared" si="27"/>
        <v>0</v>
      </c>
      <c r="X85" s="628">
        <f t="shared" si="27"/>
        <v>0</v>
      </c>
      <c r="Y85" s="14">
        <f t="shared" si="19"/>
        <v>0</v>
      </c>
      <c r="Z85" s="15">
        <v>0.11818857666880556</v>
      </c>
      <c r="AA85" s="15">
        <v>0.49778875974979209</v>
      </c>
      <c r="AB85" s="15">
        <v>0.3840226635814023</v>
      </c>
      <c r="AC85" s="15">
        <v>0</v>
      </c>
      <c r="AD85" s="15">
        <v>0</v>
      </c>
      <c r="AE85" s="15">
        <v>0</v>
      </c>
      <c r="AF85" s="15">
        <v>0</v>
      </c>
      <c r="AG85" s="16">
        <f>SUM(Z85:AF85)</f>
        <v>1</v>
      </c>
      <c r="AH85" t="b">
        <f t="shared" si="28"/>
        <v>1</v>
      </c>
      <c r="AI85" s="5">
        <v>144.70421211980818</v>
      </c>
    </row>
    <row r="86" spans="2:35" x14ac:dyDescent="0.25">
      <c r="B86" s="239"/>
      <c r="C86" s="161" t="s">
        <v>243</v>
      </c>
      <c r="D86" s="161" t="str">
        <f>Unit_Rates!G96</f>
        <v>Distribution system assets</v>
      </c>
      <c r="E86" s="161" t="str">
        <f>Unit_Rates!H96</f>
        <v>Replacement</v>
      </c>
      <c r="F86" s="161" t="str">
        <f>D86&amp;E86</f>
        <v>Distribution system assetsReplacement</v>
      </c>
      <c r="G86" s="570">
        <f>Unit_Rates!I96</f>
        <v>182.28643631627907</v>
      </c>
      <c r="H86" s="432">
        <f>INDEX(Feeder_Vols!$C$29:$F$34,MATCH($B$3,Feeder_Vols!$B$29:$B$34,0),4)</f>
        <v>0</v>
      </c>
      <c r="I86" s="252" t="s">
        <v>308</v>
      </c>
      <c r="J86" s="161"/>
      <c r="K86" s="256">
        <f>G86*H86</f>
        <v>0</v>
      </c>
      <c r="L86" s="256">
        <f>SUMPRODUCT(R$5:X$5,R86:X86)/Thousands</f>
        <v>0</v>
      </c>
      <c r="M86" s="256">
        <f>$H86*Unit_Rates!K96</f>
        <v>0</v>
      </c>
      <c r="N86" s="256">
        <f>$H86*Unit_Rates!L96</f>
        <v>0</v>
      </c>
      <c r="O86" s="256">
        <f>$H86*Unit_Rates!M96</f>
        <v>0</v>
      </c>
      <c r="P86" s="216">
        <f>SUM(K86:O86)</f>
        <v>0</v>
      </c>
      <c r="Q86" s="19">
        <f>P86-(H86*Unit_Rates!$E$96)</f>
        <v>0</v>
      </c>
      <c r="R86" s="628">
        <f t="shared" si="27"/>
        <v>0</v>
      </c>
      <c r="S86" s="628">
        <f t="shared" si="27"/>
        <v>0</v>
      </c>
      <c r="T86" s="628">
        <f t="shared" si="27"/>
        <v>0</v>
      </c>
      <c r="U86" s="628">
        <f t="shared" si="27"/>
        <v>0</v>
      </c>
      <c r="V86" s="628">
        <f t="shared" si="27"/>
        <v>0</v>
      </c>
      <c r="W86" s="628">
        <f t="shared" si="27"/>
        <v>0</v>
      </c>
      <c r="X86" s="628">
        <f t="shared" si="27"/>
        <v>0</v>
      </c>
      <c r="Y86" s="14">
        <f t="shared" si="19"/>
        <v>0</v>
      </c>
      <c r="Z86" s="15">
        <v>0.69942688247564233</v>
      </c>
      <c r="AA86" s="15">
        <v>4.8454943655496512E-2</v>
      </c>
      <c r="AB86" s="15">
        <v>0.25211817386886121</v>
      </c>
      <c r="AC86" s="15">
        <v>0</v>
      </c>
      <c r="AD86" s="15">
        <v>0</v>
      </c>
      <c r="AE86" s="15">
        <v>0</v>
      </c>
      <c r="AF86" s="15">
        <v>0</v>
      </c>
      <c r="AG86" s="16">
        <f>SUM(Z86:AF86)</f>
        <v>1</v>
      </c>
      <c r="AH86" t="b">
        <f t="shared" si="28"/>
        <v>1</v>
      </c>
      <c r="AI86" s="5">
        <v>220.41130997006761</v>
      </c>
    </row>
    <row r="87" spans="2:35" x14ac:dyDescent="0.25">
      <c r="B87" s="239" t="s">
        <v>312</v>
      </c>
      <c r="C87" s="161"/>
      <c r="D87" s="161"/>
      <c r="E87" s="161"/>
      <c r="F87" s="161"/>
      <c r="G87" s="570"/>
      <c r="H87" s="219"/>
      <c r="I87" s="252"/>
      <c r="J87" s="161"/>
      <c r="K87" s="256"/>
      <c r="L87" s="256"/>
      <c r="M87" s="256"/>
      <c r="N87" s="256"/>
      <c r="O87" s="256"/>
      <c r="P87" s="216"/>
      <c r="R87" s="309"/>
      <c r="S87" s="309"/>
      <c r="T87" s="309"/>
      <c r="U87" s="309"/>
      <c r="V87" s="309"/>
      <c r="W87" s="309"/>
      <c r="X87" s="309"/>
      <c r="Y87" s="14"/>
    </row>
    <row r="88" spans="2:35" x14ac:dyDescent="0.25">
      <c r="B88" s="220"/>
      <c r="C88" s="161" t="s">
        <v>535</v>
      </c>
      <c r="D88" s="161" t="str">
        <f>Unit_Rates!G102</f>
        <v>Distribution system assets</v>
      </c>
      <c r="E88" s="161" t="str">
        <f>Unit_Rates!H102</f>
        <v>Augmentation</v>
      </c>
      <c r="F88" s="161" t="str">
        <f>D88&amp;E88</f>
        <v>Distribution system assetsAugmentation</v>
      </c>
      <c r="G88" s="570">
        <f>Unit_Rates!I102</f>
        <v>0</v>
      </c>
      <c r="H88" s="431">
        <f>INDEX(Feeder_Vols!$C$39:$F$44,MATCH($B$3,Feeder_Vols!$B$39:$B$44,0),1)</f>
        <v>0</v>
      </c>
      <c r="I88" s="252" t="s">
        <v>308</v>
      </c>
      <c r="J88" s="161"/>
      <c r="K88" s="256">
        <f>G88*H88</f>
        <v>0</v>
      </c>
      <c r="L88" s="256">
        <f>SUMPRODUCT(R$5:X$5,R88:X88)/Thousands</f>
        <v>0</v>
      </c>
      <c r="M88" s="256">
        <f>$H88*Unit_Rates!K102</f>
        <v>0</v>
      </c>
      <c r="N88" s="256">
        <f>$H88*Unit_Rates!L102</f>
        <v>0</v>
      </c>
      <c r="O88" s="256">
        <f>$H88*Unit_Rates!M102</f>
        <v>0</v>
      </c>
      <c r="P88" s="216">
        <f>SUM(K88:O88)</f>
        <v>0</v>
      </c>
      <c r="Q88" s="14">
        <f>P88-H88*Unit_Rates!$E102</f>
        <v>0</v>
      </c>
      <c r="R88" s="628">
        <f t="shared" ref="R88:X91" si="29">$AI88*Z88*$H88</f>
        <v>0</v>
      </c>
      <c r="S88" s="628">
        <f t="shared" si="29"/>
        <v>0</v>
      </c>
      <c r="T88" s="628">
        <f t="shared" si="29"/>
        <v>0</v>
      </c>
      <c r="U88" s="628">
        <f t="shared" si="29"/>
        <v>0</v>
      </c>
      <c r="V88" s="628">
        <f t="shared" si="29"/>
        <v>0</v>
      </c>
      <c r="W88" s="628">
        <f t="shared" si="29"/>
        <v>0</v>
      </c>
      <c r="X88" s="628">
        <f t="shared" si="29"/>
        <v>0</v>
      </c>
      <c r="Y88" s="14">
        <f t="shared" si="19"/>
        <v>0</v>
      </c>
      <c r="Z88" s="15">
        <v>0.18112413889844414</v>
      </c>
      <c r="AA88" s="15">
        <v>0.21477521965386426</v>
      </c>
      <c r="AB88" s="15">
        <v>0.6041006414476916</v>
      </c>
      <c r="AC88" s="15">
        <v>0</v>
      </c>
      <c r="AD88" s="15">
        <v>0</v>
      </c>
      <c r="AE88" s="15">
        <v>0</v>
      </c>
      <c r="AF88" s="15">
        <v>0</v>
      </c>
      <c r="AG88" s="16">
        <f>SUM(Z88:AF88)</f>
        <v>1</v>
      </c>
      <c r="AH88" t="b">
        <f t="shared" si="28"/>
        <v>1</v>
      </c>
      <c r="AI88" s="5">
        <v>469.77670058953754</v>
      </c>
    </row>
    <row r="89" spans="2:35" x14ac:dyDescent="0.25">
      <c r="B89" s="220"/>
      <c r="C89" s="161" t="s">
        <v>467</v>
      </c>
      <c r="D89" s="161" t="str">
        <f>Unit_Rates!G103</f>
        <v>Distribution system assets</v>
      </c>
      <c r="E89" s="161" t="str">
        <f>Unit_Rates!H103</f>
        <v>Augmentation</v>
      </c>
      <c r="F89" s="161" t="str">
        <f>D89&amp;E89</f>
        <v>Distribution system assetsAugmentation</v>
      </c>
      <c r="G89" s="570">
        <f>Unit_Rates!I103</f>
        <v>0</v>
      </c>
      <c r="H89" s="431">
        <f>INDEX(Feeder_Vols!$C$39:$F$44,MATCH($B$3,Feeder_Vols!$B$39:$B$44,0),2)</f>
        <v>0</v>
      </c>
      <c r="I89" s="252" t="s">
        <v>308</v>
      </c>
      <c r="J89" s="161"/>
      <c r="K89" s="256">
        <f>G89*H89</f>
        <v>0</v>
      </c>
      <c r="L89" s="256">
        <f>SUMPRODUCT(R$5:X$5,R89:X89)/Thousands</f>
        <v>0</v>
      </c>
      <c r="M89" s="256">
        <f>$H89*Unit_Rates!K103</f>
        <v>0</v>
      </c>
      <c r="N89" s="256">
        <f>$H89*Unit_Rates!L103</f>
        <v>0</v>
      </c>
      <c r="O89" s="256">
        <f>$H89*Unit_Rates!M103</f>
        <v>0</v>
      </c>
      <c r="P89" s="216">
        <f>SUM(K89:O89)</f>
        <v>0</v>
      </c>
      <c r="Q89" s="14">
        <f>P89-H89*Unit_Rates!$E103</f>
        <v>0</v>
      </c>
      <c r="R89" s="628">
        <f t="shared" si="29"/>
        <v>0</v>
      </c>
      <c r="S89" s="628">
        <f t="shared" si="29"/>
        <v>0</v>
      </c>
      <c r="T89" s="628">
        <f t="shared" si="29"/>
        <v>0</v>
      </c>
      <c r="U89" s="628">
        <f t="shared" si="29"/>
        <v>0</v>
      </c>
      <c r="V89" s="628">
        <f t="shared" si="29"/>
        <v>0</v>
      </c>
      <c r="W89" s="628">
        <f t="shared" si="29"/>
        <v>0</v>
      </c>
      <c r="X89" s="628">
        <f t="shared" si="29"/>
        <v>0</v>
      </c>
      <c r="Y89" s="14">
        <f t="shared" si="19"/>
        <v>0</v>
      </c>
      <c r="Z89" s="15">
        <v>0.18112413889844414</v>
      </c>
      <c r="AA89" s="15">
        <v>0.42955043930772852</v>
      </c>
      <c r="AB89" s="15">
        <v>0.3893254217938274</v>
      </c>
      <c r="AC89" s="15">
        <v>0</v>
      </c>
      <c r="AD89" s="15">
        <v>0</v>
      </c>
      <c r="AE89" s="15">
        <v>0</v>
      </c>
      <c r="AF89" s="15">
        <v>0</v>
      </c>
      <c r="AG89" s="16">
        <f>SUM(Z89:AF89)</f>
        <v>1</v>
      </c>
      <c r="AH89" t="b">
        <f t="shared" si="28"/>
        <v>1</v>
      </c>
      <c r="AI89" s="5">
        <v>500.15046310508262</v>
      </c>
    </row>
    <row r="90" spans="2:35" x14ac:dyDescent="0.25">
      <c r="B90" s="220"/>
      <c r="C90" s="161" t="s">
        <v>466</v>
      </c>
      <c r="D90" s="161" t="str">
        <f>Unit_Rates!G104</f>
        <v>Distribution system assets</v>
      </c>
      <c r="E90" s="161" t="str">
        <f>Unit_Rates!H104</f>
        <v>Augmentation</v>
      </c>
      <c r="F90" s="161" t="str">
        <f>D90&amp;E90</f>
        <v>Distribution system assetsAugmentation</v>
      </c>
      <c r="G90" s="570">
        <f>Unit_Rates!I104</f>
        <v>0</v>
      </c>
      <c r="H90" s="431">
        <f>INDEX(Feeder_Vols!$C$39:$F$44,MATCH($B$3,Feeder_Vols!$B$39:$B$44,0),3)</f>
        <v>0</v>
      </c>
      <c r="I90" s="252" t="s">
        <v>308</v>
      </c>
      <c r="J90" s="161"/>
      <c r="K90" s="256">
        <f>G90*H90</f>
        <v>0</v>
      </c>
      <c r="L90" s="256">
        <f>SUMPRODUCT(R$5:X$5,R90:X90)/Thousands</f>
        <v>0</v>
      </c>
      <c r="M90" s="256">
        <f>$H90*Unit_Rates!K104</f>
        <v>0</v>
      </c>
      <c r="N90" s="256">
        <f>$H90*Unit_Rates!L104</f>
        <v>0</v>
      </c>
      <c r="O90" s="256">
        <f>$H90*Unit_Rates!M104</f>
        <v>0</v>
      </c>
      <c r="P90" s="216">
        <f>SUM(K90:O90)</f>
        <v>0</v>
      </c>
      <c r="Q90" s="14">
        <f>P90-H90*Unit_Rates!$E104</f>
        <v>0</v>
      </c>
      <c r="R90" s="628">
        <f t="shared" si="29"/>
        <v>0</v>
      </c>
      <c r="S90" s="628">
        <f t="shared" si="29"/>
        <v>0</v>
      </c>
      <c r="T90" s="628">
        <f t="shared" si="29"/>
        <v>0</v>
      </c>
      <c r="U90" s="628">
        <f t="shared" si="29"/>
        <v>0</v>
      </c>
      <c r="V90" s="628">
        <f t="shared" si="29"/>
        <v>0</v>
      </c>
      <c r="W90" s="628">
        <f t="shared" si="29"/>
        <v>0</v>
      </c>
      <c r="X90" s="628">
        <f t="shared" si="29"/>
        <v>0</v>
      </c>
      <c r="Y90" s="14">
        <f t="shared" si="19"/>
        <v>0</v>
      </c>
      <c r="Z90" s="15">
        <v>0.18112413889844414</v>
      </c>
      <c r="AA90" s="15">
        <v>0.42955043930772852</v>
      </c>
      <c r="AB90" s="15">
        <v>0.3893254217938274</v>
      </c>
      <c r="AC90" s="15">
        <v>0</v>
      </c>
      <c r="AD90" s="15">
        <v>0</v>
      </c>
      <c r="AE90" s="15">
        <v>0</v>
      </c>
      <c r="AF90" s="15">
        <v>0</v>
      </c>
      <c r="AG90" s="16">
        <f>SUM(Z90:AF90)</f>
        <v>1</v>
      </c>
      <c r="AH90" t="b">
        <f t="shared" si="28"/>
        <v>1</v>
      </c>
      <c r="AI90" s="5">
        <v>416.11120533381393</v>
      </c>
    </row>
    <row r="91" spans="2:35" x14ac:dyDescent="0.25">
      <c r="B91" s="220"/>
      <c r="C91" s="161" t="s">
        <v>311</v>
      </c>
      <c r="D91" s="161" t="str">
        <f>Unit_Rates!G105</f>
        <v>Distribution system assets</v>
      </c>
      <c r="E91" s="161" t="str">
        <f>Unit_Rates!H105</f>
        <v>Replacement</v>
      </c>
      <c r="F91" s="161" t="str">
        <f>D91&amp;E91</f>
        <v>Distribution system assetsReplacement</v>
      </c>
      <c r="G91" s="570">
        <f>Unit_Rates!I105</f>
        <v>30.885851347412974</v>
      </c>
      <c r="H91" s="431">
        <f>INDEX(Feeder_Vols!$C$39:$I$44,MATCH($B$3,Feeder_Vols!$B$39:$B$44,0),7)</f>
        <v>1</v>
      </c>
      <c r="I91" s="252" t="s">
        <v>308</v>
      </c>
      <c r="J91" s="161"/>
      <c r="K91" s="256">
        <f>G91*H91</f>
        <v>30.885851347412974</v>
      </c>
      <c r="L91" s="256">
        <f>SUMPRODUCT(R$5:X$5,R91:X91)/Thousands</f>
        <v>9.7770370094362189</v>
      </c>
      <c r="M91" s="256">
        <f>$H91*Unit_Rates!K105</f>
        <v>6.2099623918519153</v>
      </c>
      <c r="N91" s="256">
        <f>$H91*Unit_Rates!L105</f>
        <v>33.533796916000327</v>
      </c>
      <c r="O91" s="256">
        <f>$H91*Unit_Rates!M105</f>
        <v>9.0567534026248566</v>
      </c>
      <c r="P91" s="216">
        <f>SUM(K91:O91)</f>
        <v>89.463401067326288</v>
      </c>
      <c r="Q91" s="14">
        <f>P91-H91*Unit_Rates!$E105</f>
        <v>3.898774218018275E-2</v>
      </c>
      <c r="R91" s="628">
        <f t="shared" si="29"/>
        <v>18.5102921515013</v>
      </c>
      <c r="S91" s="628">
        <f t="shared" si="29"/>
        <v>19.813833852311248</v>
      </c>
      <c r="T91" s="628">
        <f t="shared" si="29"/>
        <v>22.735873996187458</v>
      </c>
      <c r="U91" s="628">
        <f t="shared" si="29"/>
        <v>0</v>
      </c>
      <c r="V91" s="628">
        <f t="shared" si="29"/>
        <v>0</v>
      </c>
      <c r="W91" s="628">
        <f t="shared" si="29"/>
        <v>0</v>
      </c>
      <c r="X91" s="628">
        <f t="shared" si="29"/>
        <v>0</v>
      </c>
      <c r="Y91" s="14">
        <f t="shared" si="19"/>
        <v>61.060000000000009</v>
      </c>
      <c r="Z91" s="15">
        <v>0.30314923274650013</v>
      </c>
      <c r="AA91" s="15">
        <v>0.32449777026385929</v>
      </c>
      <c r="AB91" s="15">
        <v>0.37235299698964064</v>
      </c>
      <c r="AC91" s="15">
        <v>0</v>
      </c>
      <c r="AD91" s="15">
        <v>0</v>
      </c>
      <c r="AE91" s="15">
        <v>0</v>
      </c>
      <c r="AF91" s="15">
        <v>0</v>
      </c>
      <c r="AG91" s="16">
        <f>SUM(Z91:AF91)</f>
        <v>1</v>
      </c>
      <c r="AH91" t="b">
        <f t="shared" si="28"/>
        <v>1</v>
      </c>
      <c r="AI91" s="5">
        <v>61.06</v>
      </c>
    </row>
    <row r="92" spans="2:35" x14ac:dyDescent="0.25">
      <c r="B92" s="220"/>
      <c r="C92" s="161"/>
      <c r="D92" s="161"/>
      <c r="E92" s="161"/>
      <c r="F92" s="161"/>
      <c r="G92" s="559"/>
      <c r="H92" s="220"/>
      <c r="I92" s="212"/>
      <c r="J92" s="161"/>
      <c r="K92" s="223"/>
      <c r="L92" s="223"/>
      <c r="M92" s="223"/>
      <c r="N92" s="223"/>
      <c r="O92" s="223"/>
      <c r="P92" s="212"/>
    </row>
    <row r="93" spans="2:35" x14ac:dyDescent="0.25">
      <c r="B93" s="239" t="s">
        <v>299</v>
      </c>
      <c r="C93" s="161"/>
      <c r="D93" s="161"/>
      <c r="E93" s="161"/>
      <c r="F93" s="161"/>
      <c r="G93" s="559"/>
      <c r="H93" s="220"/>
      <c r="I93" s="212"/>
      <c r="J93" s="161"/>
      <c r="K93" s="302">
        <f t="shared" ref="K93:P93" si="30">SUM(K75:K91)</f>
        <v>819.74395296837963</v>
      </c>
      <c r="L93" s="302">
        <f t="shared" si="30"/>
        <v>361.69258919677799</v>
      </c>
      <c r="M93" s="302">
        <f t="shared" si="30"/>
        <v>175.42307371718871</v>
      </c>
      <c r="N93" s="302">
        <f t="shared" si="30"/>
        <v>1824.4650952755819</v>
      </c>
      <c r="O93" s="302">
        <f t="shared" si="30"/>
        <v>94.036546455480675</v>
      </c>
      <c r="P93" s="302">
        <f t="shared" si="30"/>
        <v>3275.3612576134087</v>
      </c>
    </row>
    <row r="94" spans="2:35" x14ac:dyDescent="0.25">
      <c r="B94" s="247" t="s">
        <v>72</v>
      </c>
      <c r="C94" s="248"/>
      <c r="D94" s="248"/>
      <c r="E94" s="248"/>
      <c r="F94" s="248"/>
      <c r="G94" s="587"/>
      <c r="H94" s="248"/>
      <c r="I94" s="248"/>
      <c r="J94" s="248"/>
      <c r="K94" s="306">
        <f>K93-SUMIF(Direct_Capex_Totals!$B$16:$B$85,$B$3,Direct_Capex_Totals!Q$16:Q$85)</f>
        <v>0</v>
      </c>
      <c r="L94" s="306">
        <f>L93-SUMIF(Direct_Capex_Totals!$B$16:$B$85,$B$3,Direct_Capex_Totals!R$16:R$85)</f>
        <v>0</v>
      </c>
      <c r="M94" s="306">
        <f>M93-SUMIF(Direct_Capex_Totals!$B$16:$B$85,$B$3,Direct_Capex_Totals!S$16:S$85)</f>
        <v>0</v>
      </c>
      <c r="N94" s="306">
        <f>N93-SUMIF(Direct_Capex_Totals!$B$16:$B$85,$B$3,Direct_Capex_Totals!T$16:T$85)</f>
        <v>0</v>
      </c>
      <c r="O94" s="306">
        <f>O93-SUMIF(Direct_Capex_Totals!$B$16:$B$85,$B$3,Direct_Capex_Totals!U$16:U$85)</f>
        <v>0</v>
      </c>
      <c r="P94" s="307">
        <f>SUM(K94:O94)</f>
        <v>0</v>
      </c>
      <c r="Q94" s="11"/>
    </row>
    <row r="95" spans="2:35" x14ac:dyDescent="0.25">
      <c r="B95" s="220"/>
      <c r="C95" s="161"/>
      <c r="D95" s="161"/>
      <c r="E95" s="161"/>
      <c r="F95" s="161"/>
      <c r="G95" s="270"/>
      <c r="H95" s="161"/>
      <c r="I95" s="161"/>
      <c r="J95" s="161"/>
      <c r="K95" s="147"/>
      <c r="L95" s="147"/>
      <c r="M95" s="147"/>
      <c r="N95" s="147"/>
      <c r="O95" s="147"/>
      <c r="P95" s="221"/>
    </row>
    <row r="96" spans="2:35" x14ac:dyDescent="0.25">
      <c r="B96" s="239" t="s">
        <v>119</v>
      </c>
      <c r="C96" s="240"/>
      <c r="D96" s="240"/>
      <c r="E96" s="240"/>
      <c r="F96" s="240"/>
      <c r="G96" s="588"/>
      <c r="H96" s="240"/>
      <c r="I96" s="240"/>
      <c r="J96" s="240"/>
      <c r="K96" s="26">
        <f t="shared" ref="K96:P96" si="31">K60+K93</f>
        <v>4180.4314461453087</v>
      </c>
      <c r="L96" s="26">
        <f t="shared" si="31"/>
        <v>1356.2566774477993</v>
      </c>
      <c r="M96" s="26">
        <f t="shared" si="31"/>
        <v>1307.4584719472771</v>
      </c>
      <c r="N96" s="26">
        <f t="shared" si="31"/>
        <v>4742.2090288824893</v>
      </c>
      <c r="O96" s="26">
        <f t="shared" si="31"/>
        <v>214.38862386344604</v>
      </c>
      <c r="P96" s="241">
        <f t="shared" si="31"/>
        <v>11800.744248286319</v>
      </c>
    </row>
    <row r="97" spans="2:16" x14ac:dyDescent="0.25">
      <c r="B97" s="246" t="s">
        <v>72</v>
      </c>
      <c r="C97" s="242"/>
      <c r="D97" s="242"/>
      <c r="E97" s="242"/>
      <c r="F97" s="242"/>
      <c r="G97" s="589"/>
      <c r="H97" s="242"/>
      <c r="I97" s="242"/>
      <c r="J97" s="242"/>
      <c r="K97" s="243">
        <f>K96-Direct_Capex_Totals!Q111</f>
        <v>0</v>
      </c>
      <c r="L97" s="243">
        <f>L96-Direct_Capex_Totals!R111</f>
        <v>0</v>
      </c>
      <c r="M97" s="243">
        <f>M96-Direct_Capex_Totals!S111</f>
        <v>0</v>
      </c>
      <c r="N97" s="243">
        <f>N96-Direct_Capex_Totals!T111</f>
        <v>0</v>
      </c>
      <c r="O97" s="243">
        <f>O96-Direct_Capex_Totals!U111</f>
        <v>0</v>
      </c>
      <c r="P97" s="245">
        <f>SUM(K97:O97)</f>
        <v>0</v>
      </c>
    </row>
    <row r="100" spans="2:16" outlineLevel="1" x14ac:dyDescent="0.25">
      <c r="C100" t="s">
        <v>277</v>
      </c>
      <c r="D100" t="s">
        <v>18</v>
      </c>
      <c r="E100" t="s">
        <v>42</v>
      </c>
      <c r="F100" s="161" t="str">
        <f>D100&amp;E100</f>
        <v>SubtransmissionAugmentation</v>
      </c>
      <c r="K100" s="6">
        <v>1801.7786707964592</v>
      </c>
      <c r="L100" s="6">
        <v>0</v>
      </c>
      <c r="M100" s="6">
        <v>0</v>
      </c>
      <c r="N100" s="6">
        <v>2529.5504350779161</v>
      </c>
      <c r="O100" s="6">
        <v>115.28554159292034</v>
      </c>
      <c r="P100" s="6">
        <f>SUM(K100:O100)</f>
        <v>4446.614647467296</v>
      </c>
    </row>
    <row r="101" spans="2:16" outlineLevel="1" x14ac:dyDescent="0.25">
      <c r="D101" t="s">
        <v>18</v>
      </c>
      <c r="E101" t="s">
        <v>44</v>
      </c>
      <c r="F101" s="161" t="str">
        <f>D101&amp;E101</f>
        <v>SubtransmissionReplacement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ref="P101:P120" si="32">SUM(K101:O101)</f>
        <v>0</v>
      </c>
    </row>
    <row r="102" spans="2:16" outlineLevel="1" x14ac:dyDescent="0.25">
      <c r="D102" t="s">
        <v>22</v>
      </c>
      <c r="E102" t="s">
        <v>42</v>
      </c>
      <c r="F102" s="161" t="str">
        <f>D102&amp;E102</f>
        <v>SCADA/Network controlAugmentation</v>
      </c>
      <c r="K102" s="6">
        <v>1558.9088223804695</v>
      </c>
      <c r="L102" s="6">
        <v>0</v>
      </c>
      <c r="M102" s="6">
        <v>0</v>
      </c>
      <c r="N102" s="6">
        <v>388.19349852899205</v>
      </c>
      <c r="O102" s="6">
        <v>5.066535815045043</v>
      </c>
      <c r="P102" s="6">
        <f t="shared" si="32"/>
        <v>1952.1688567245064</v>
      </c>
    </row>
    <row r="103" spans="2:16" outlineLevel="1" x14ac:dyDescent="0.25">
      <c r="D103" t="s">
        <v>22</v>
      </c>
      <c r="E103" t="s">
        <v>44</v>
      </c>
      <c r="F103" s="161" t="str">
        <f>D103&amp;E103</f>
        <v>SCADA/Network controlReplacement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32"/>
        <v>0</v>
      </c>
    </row>
    <row r="104" spans="2:16" outlineLevel="1" x14ac:dyDescent="0.25">
      <c r="D104" t="s">
        <v>211</v>
      </c>
      <c r="E104" t="s">
        <v>83</v>
      </c>
      <c r="F104" s="161" t="str">
        <f>D104&amp;E104</f>
        <v>LandNon-Network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f t="shared" si="32"/>
        <v>0</v>
      </c>
    </row>
    <row r="105" spans="2:16" outlineLevel="1" x14ac:dyDescent="0.25">
      <c r="F105" s="161"/>
      <c r="K105" s="6">
        <f t="shared" ref="K105:P105" si="33">SUM(K100:K104)</f>
        <v>3360.6874931769289</v>
      </c>
      <c r="L105" s="6">
        <f t="shared" si="33"/>
        <v>0</v>
      </c>
      <c r="M105" s="6">
        <f t="shared" si="33"/>
        <v>0</v>
      </c>
      <c r="N105" s="6">
        <f t="shared" si="33"/>
        <v>2917.7439336069083</v>
      </c>
      <c r="O105" s="6">
        <f t="shared" si="33"/>
        <v>120.35207740796538</v>
      </c>
      <c r="P105" s="6">
        <f t="shared" si="33"/>
        <v>6398.7835041918024</v>
      </c>
    </row>
    <row r="106" spans="2:16" outlineLevel="1" x14ac:dyDescent="0.25">
      <c r="C106" t="s">
        <v>379</v>
      </c>
      <c r="D106" t="s">
        <v>18</v>
      </c>
      <c r="E106" t="s">
        <v>42</v>
      </c>
      <c r="F106" s="161" t="str">
        <f>D106&amp;E106</f>
        <v>SubtransmissionAugmentation</v>
      </c>
      <c r="K106" s="6"/>
      <c r="L106" s="6">
        <v>691.13812645244741</v>
      </c>
      <c r="M106" s="6">
        <v>786.66908794833</v>
      </c>
      <c r="N106" s="6">
        <v>0</v>
      </c>
      <c r="O106" s="6"/>
      <c r="P106" s="6">
        <f>SUM(K106:O106)</f>
        <v>1477.8072144007774</v>
      </c>
    </row>
    <row r="107" spans="2:16" outlineLevel="1" x14ac:dyDescent="0.25">
      <c r="D107" t="s">
        <v>18</v>
      </c>
      <c r="E107" t="s">
        <v>44</v>
      </c>
      <c r="F107" s="161" t="str">
        <f>D107&amp;E107</f>
        <v>SubtransmissionReplacement</v>
      </c>
      <c r="K107" s="6"/>
      <c r="L107" s="6">
        <v>0</v>
      </c>
      <c r="M107" s="6">
        <v>0</v>
      </c>
      <c r="N107" s="6">
        <v>0</v>
      </c>
      <c r="O107" s="6"/>
      <c r="P107" s="6">
        <f t="shared" si="32"/>
        <v>0</v>
      </c>
    </row>
    <row r="108" spans="2:16" outlineLevel="1" x14ac:dyDescent="0.25">
      <c r="D108" t="s">
        <v>22</v>
      </c>
      <c r="E108" t="s">
        <v>42</v>
      </c>
      <c r="F108" s="161" t="str">
        <f>D108&amp;E108</f>
        <v>SCADA/Network controlAugmentation</v>
      </c>
      <c r="K108" s="6"/>
      <c r="L108" s="6">
        <v>303.42596179857401</v>
      </c>
      <c r="M108" s="6">
        <v>345.36631028175827</v>
      </c>
      <c r="N108" s="6">
        <v>0</v>
      </c>
      <c r="O108" s="6"/>
      <c r="P108" s="6">
        <f t="shared" si="32"/>
        <v>648.79227208033228</v>
      </c>
    </row>
    <row r="109" spans="2:16" outlineLevel="1" x14ac:dyDescent="0.25">
      <c r="D109" t="s">
        <v>22</v>
      </c>
      <c r="E109" t="s">
        <v>44</v>
      </c>
      <c r="F109" s="161" t="str">
        <f>D109&amp;E109</f>
        <v>SCADA/Network controlReplacement</v>
      </c>
      <c r="K109" s="6"/>
      <c r="L109" s="6">
        <v>0</v>
      </c>
      <c r="M109" s="6">
        <v>0</v>
      </c>
      <c r="N109" s="6">
        <v>0</v>
      </c>
      <c r="O109" s="6"/>
      <c r="P109" s="6">
        <f t="shared" si="32"/>
        <v>0</v>
      </c>
    </row>
    <row r="110" spans="2:16" outlineLevel="1" x14ac:dyDescent="0.25">
      <c r="D110" t="s">
        <v>211</v>
      </c>
      <c r="E110" t="s">
        <v>83</v>
      </c>
      <c r="F110" s="161" t="str">
        <f>D110&amp;E110</f>
        <v>LandNon-Network</v>
      </c>
      <c r="K110" s="39"/>
      <c r="L110" s="39">
        <v>0</v>
      </c>
      <c r="M110" s="39">
        <v>0</v>
      </c>
      <c r="N110" s="39">
        <v>0</v>
      </c>
      <c r="O110" s="39"/>
      <c r="P110" s="39">
        <f t="shared" si="32"/>
        <v>0</v>
      </c>
    </row>
    <row r="111" spans="2:16" outlineLevel="1" x14ac:dyDescent="0.25">
      <c r="F111" s="161"/>
      <c r="K111" s="6">
        <f t="shared" ref="K111:P111" si="34">SUM(K106:K110)</f>
        <v>0</v>
      </c>
      <c r="L111" s="6">
        <f t="shared" si="34"/>
        <v>994.56408825102142</v>
      </c>
      <c r="M111" s="6">
        <f t="shared" si="34"/>
        <v>1132.0353982300883</v>
      </c>
      <c r="N111" s="6">
        <f t="shared" si="34"/>
        <v>0</v>
      </c>
      <c r="O111" s="6">
        <f t="shared" si="34"/>
        <v>0</v>
      </c>
      <c r="P111" s="6">
        <f t="shared" si="34"/>
        <v>2126.5994864811096</v>
      </c>
    </row>
    <row r="112" spans="2:16" outlineLevel="1" x14ac:dyDescent="0.25">
      <c r="C112" t="s">
        <v>387</v>
      </c>
      <c r="D112" t="s">
        <v>18</v>
      </c>
      <c r="E112" t="s">
        <v>42</v>
      </c>
      <c r="F112" s="161" t="str">
        <f>D112&amp;E112</f>
        <v>SubtransmissionAugmentation</v>
      </c>
      <c r="K112" s="6">
        <f t="shared" ref="K112:P112" si="35">K100+K106</f>
        <v>1801.7786707964592</v>
      </c>
      <c r="L112" s="6">
        <f t="shared" si="35"/>
        <v>691.13812645244741</v>
      </c>
      <c r="M112" s="6">
        <f t="shared" si="35"/>
        <v>786.66908794833</v>
      </c>
      <c r="N112" s="6">
        <f t="shared" si="35"/>
        <v>2529.5504350779161</v>
      </c>
      <c r="O112" s="6">
        <f t="shared" si="35"/>
        <v>115.28554159292034</v>
      </c>
      <c r="P112" s="6">
        <f t="shared" si="35"/>
        <v>5924.4218618680734</v>
      </c>
    </row>
    <row r="113" spans="3:16" outlineLevel="1" x14ac:dyDescent="0.25">
      <c r="D113" t="s">
        <v>18</v>
      </c>
      <c r="E113" t="s">
        <v>44</v>
      </c>
      <c r="F113" s="161" t="str">
        <f>D113&amp;E113</f>
        <v>SubtransmissionReplacement</v>
      </c>
      <c r="K113" s="6">
        <f t="shared" ref="K113:P116" si="36">K101+K107</f>
        <v>0</v>
      </c>
      <c r="L113" s="6">
        <f t="shared" si="36"/>
        <v>0</v>
      </c>
      <c r="M113" s="6">
        <f t="shared" si="36"/>
        <v>0</v>
      </c>
      <c r="N113" s="6">
        <f t="shared" si="36"/>
        <v>0</v>
      </c>
      <c r="O113" s="6">
        <f t="shared" si="36"/>
        <v>0</v>
      </c>
      <c r="P113" s="6">
        <f t="shared" si="36"/>
        <v>0</v>
      </c>
    </row>
    <row r="114" spans="3:16" outlineLevel="1" x14ac:dyDescent="0.25">
      <c r="D114" t="s">
        <v>22</v>
      </c>
      <c r="E114" t="s">
        <v>42</v>
      </c>
      <c r="F114" s="161" t="str">
        <f>D114&amp;E114</f>
        <v>SCADA/Network controlAugmentation</v>
      </c>
      <c r="K114" s="6">
        <f t="shared" si="36"/>
        <v>1558.9088223804695</v>
      </c>
      <c r="L114" s="6">
        <f t="shared" si="36"/>
        <v>303.42596179857401</v>
      </c>
      <c r="M114" s="6">
        <f t="shared" si="36"/>
        <v>345.36631028175827</v>
      </c>
      <c r="N114" s="6">
        <f t="shared" si="36"/>
        <v>388.19349852899205</v>
      </c>
      <c r="O114" s="6">
        <f t="shared" si="36"/>
        <v>5.066535815045043</v>
      </c>
      <c r="P114" s="6">
        <f t="shared" si="36"/>
        <v>2600.9611288048386</v>
      </c>
    </row>
    <row r="115" spans="3:16" outlineLevel="1" x14ac:dyDescent="0.25">
      <c r="D115" t="s">
        <v>22</v>
      </c>
      <c r="E115" t="s">
        <v>44</v>
      </c>
      <c r="F115" s="161" t="str">
        <f>D115&amp;E115</f>
        <v>SCADA/Network controlReplacement</v>
      </c>
      <c r="K115" s="6">
        <f t="shared" si="36"/>
        <v>0</v>
      </c>
      <c r="L115" s="6">
        <f t="shared" si="36"/>
        <v>0</v>
      </c>
      <c r="M115" s="6">
        <f t="shared" si="36"/>
        <v>0</v>
      </c>
      <c r="N115" s="6">
        <f t="shared" si="36"/>
        <v>0</v>
      </c>
      <c r="O115" s="6">
        <f t="shared" si="36"/>
        <v>0</v>
      </c>
      <c r="P115" s="6">
        <f t="shared" si="36"/>
        <v>0</v>
      </c>
    </row>
    <row r="116" spans="3:16" outlineLevel="1" x14ac:dyDescent="0.25">
      <c r="D116" t="s">
        <v>211</v>
      </c>
      <c r="E116" t="s">
        <v>83</v>
      </c>
      <c r="F116" s="161" t="str">
        <f>D116&amp;E116</f>
        <v>LandNon-Network</v>
      </c>
      <c r="K116" s="39">
        <f t="shared" si="36"/>
        <v>0</v>
      </c>
      <c r="L116" s="39">
        <f t="shared" si="36"/>
        <v>0</v>
      </c>
      <c r="M116" s="39">
        <f t="shared" si="36"/>
        <v>0</v>
      </c>
      <c r="N116" s="39">
        <f t="shared" si="36"/>
        <v>0</v>
      </c>
      <c r="O116" s="39">
        <f t="shared" si="36"/>
        <v>0</v>
      </c>
      <c r="P116" s="39">
        <f t="shared" si="36"/>
        <v>0</v>
      </c>
    </row>
    <row r="117" spans="3:16" outlineLevel="1" x14ac:dyDescent="0.25">
      <c r="F117" s="161"/>
      <c r="K117" s="6">
        <f t="shared" ref="K117:P117" si="37">SUM(K112:K116)</f>
        <v>3360.6874931769289</v>
      </c>
      <c r="L117" s="6">
        <f t="shared" si="37"/>
        <v>994.56408825102142</v>
      </c>
      <c r="M117" s="6">
        <f t="shared" si="37"/>
        <v>1132.0353982300883</v>
      </c>
      <c r="N117" s="6">
        <f t="shared" si="37"/>
        <v>2917.7439336069083</v>
      </c>
      <c r="O117" s="6">
        <f t="shared" si="37"/>
        <v>120.35207740796538</v>
      </c>
      <c r="P117" s="6">
        <f t="shared" si="37"/>
        <v>8525.3829906729115</v>
      </c>
    </row>
    <row r="118" spans="3:16" outlineLevel="1" x14ac:dyDescent="0.25">
      <c r="F118" s="161"/>
      <c r="K118" s="5">
        <f t="shared" ref="K118:P118" si="38">K60-K117</f>
        <v>0</v>
      </c>
      <c r="L118" s="5">
        <f t="shared" si="38"/>
        <v>0</v>
      </c>
      <c r="M118" s="5">
        <f t="shared" si="38"/>
        <v>0</v>
      </c>
      <c r="N118" s="5">
        <f t="shared" si="38"/>
        <v>0</v>
      </c>
      <c r="O118" s="5">
        <f t="shared" si="38"/>
        <v>0</v>
      </c>
      <c r="P118" s="5">
        <f t="shared" si="38"/>
        <v>0</v>
      </c>
    </row>
    <row r="119" spans="3:16" outlineLevel="1" x14ac:dyDescent="0.25">
      <c r="C119" t="s">
        <v>17</v>
      </c>
      <c r="D119" t="s">
        <v>19</v>
      </c>
      <c r="E119" t="s">
        <v>42</v>
      </c>
      <c r="F119" s="161" t="str">
        <f>D119&amp;E119</f>
        <v>Distribution system assetsAugmentation</v>
      </c>
      <c r="K119" s="6">
        <v>473.99527896274947</v>
      </c>
      <c r="L119" s="6">
        <v>193.23564524093848</v>
      </c>
      <c r="M119" s="6">
        <v>142.85904431441128</v>
      </c>
      <c r="N119" s="6">
        <v>1045.0291355171298</v>
      </c>
      <c r="O119" s="6">
        <v>53.621410546781561</v>
      </c>
      <c r="P119" s="6">
        <f t="shared" si="32"/>
        <v>1908.7405145820105</v>
      </c>
    </row>
    <row r="120" spans="3:16" outlineLevel="1" x14ac:dyDescent="0.25">
      <c r="D120" t="s">
        <v>19</v>
      </c>
      <c r="E120" t="s">
        <v>44</v>
      </c>
      <c r="F120" s="161" t="str">
        <f>D120&amp;E120</f>
        <v>Distribution system assetsReplacement</v>
      </c>
      <c r="K120" s="39">
        <v>0</v>
      </c>
      <c r="L120" s="39">
        <v>2.0445374233676379</v>
      </c>
      <c r="M120" s="39">
        <v>0</v>
      </c>
      <c r="N120" s="39">
        <v>53.066263386046501</v>
      </c>
      <c r="O120" s="39">
        <v>0</v>
      </c>
      <c r="P120" s="39">
        <f t="shared" si="32"/>
        <v>55.110800809414137</v>
      </c>
    </row>
    <row r="121" spans="3:16" outlineLevel="1" x14ac:dyDescent="0.25">
      <c r="K121" s="14">
        <f t="shared" ref="K121:P121" si="39">SUM(K119:K120)</f>
        <v>473.99527896274947</v>
      </c>
      <c r="L121" s="14">
        <f t="shared" si="39"/>
        <v>195.28018266430612</v>
      </c>
      <c r="M121" s="14">
        <f t="shared" si="39"/>
        <v>142.85904431441128</v>
      </c>
      <c r="N121" s="14">
        <f t="shared" si="39"/>
        <v>1098.0953989031764</v>
      </c>
      <c r="O121" s="14">
        <f t="shared" si="39"/>
        <v>53.621410546781561</v>
      </c>
      <c r="P121" s="14">
        <f t="shared" si="39"/>
        <v>1963.8513153914246</v>
      </c>
    </row>
    <row r="122" spans="3:16" outlineLevel="1" x14ac:dyDescent="0.25">
      <c r="K122" s="19">
        <f t="shared" ref="K122:P122" si="40">K121-K75</f>
        <v>0</v>
      </c>
      <c r="L122" s="19">
        <f t="shared" si="40"/>
        <v>0</v>
      </c>
      <c r="M122" s="19">
        <f t="shared" si="40"/>
        <v>0</v>
      </c>
      <c r="N122" s="19">
        <f t="shared" si="40"/>
        <v>0</v>
      </c>
      <c r="O122" s="19">
        <f t="shared" si="40"/>
        <v>0</v>
      </c>
      <c r="P122" s="19">
        <f t="shared" si="40"/>
        <v>0</v>
      </c>
    </row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I121"/>
  <sheetViews>
    <sheetView zoomScale="85" zoomScaleNormal="85" workbookViewId="0">
      <pane ySplit="4" topLeftCell="A5" activePane="bottomLeft" state="frozen"/>
      <selection activeCell="G18" sqref="G18"/>
      <selection pane="bottomLeft" activeCell="AI65" sqref="AI65:AI67"/>
    </sheetView>
  </sheetViews>
  <sheetFormatPr defaultRowHeight="15" outlineLevelRow="1" outlineLevelCol="1" x14ac:dyDescent="0.25"/>
  <cols>
    <col min="1" max="1" width="2.28515625" customWidth="1"/>
    <col min="2" max="2" width="3" customWidth="1"/>
    <col min="3" max="3" width="48.7109375" customWidth="1"/>
    <col min="4" max="6" width="20.28515625" hidden="1" customWidth="1" outlineLevel="1"/>
    <col min="7" max="7" width="9.28515625" bestFit="1" customWidth="1" collapsed="1"/>
    <col min="8" max="8" width="8.7109375" customWidth="1"/>
    <col min="9" max="9" width="10.85546875" customWidth="1"/>
    <col min="10" max="10" width="2.28515625" customWidth="1"/>
    <col min="11" max="11" width="9.5703125" bestFit="1" customWidth="1"/>
    <col min="12" max="12" width="9.42578125" bestFit="1" customWidth="1"/>
    <col min="13" max="13" width="9.42578125" customWidth="1"/>
    <col min="14" max="14" width="12.5703125" customWidth="1"/>
    <col min="15" max="15" width="9.140625" bestFit="1" customWidth="1"/>
    <col min="16" max="16" width="9.28515625" bestFit="1" customWidth="1"/>
    <col min="18" max="18" width="9.5703125" customWidth="1"/>
    <col min="19" max="19" width="10.7109375" customWidth="1"/>
    <col min="20" max="20" width="10.28515625" bestFit="1" customWidth="1"/>
    <col min="26" max="35" width="8.85546875" customWidth="1" outlineLevel="1"/>
    <col min="36" max="36" width="8.85546875"/>
  </cols>
  <sheetData>
    <row r="1" spans="2:33" x14ac:dyDescent="0.25">
      <c r="N1" s="745" t="s">
        <v>432</v>
      </c>
    </row>
    <row r="2" spans="2:33" x14ac:dyDescent="0.25">
      <c r="B2" s="22" t="str">
        <f>STN_4&amp;" Volumes &amp; Unit Rates"</f>
        <v>MSD Volumes &amp; Unit Rates</v>
      </c>
    </row>
    <row r="3" spans="2:33" x14ac:dyDescent="0.25">
      <c r="B3" t="str">
        <f>STN_4</f>
        <v>MSD</v>
      </c>
      <c r="G3" s="771" t="s">
        <v>151</v>
      </c>
      <c r="H3" s="772"/>
      <c r="I3" s="773"/>
      <c r="K3" s="771" t="s">
        <v>604</v>
      </c>
      <c r="L3" s="772"/>
      <c r="M3" s="772"/>
      <c r="N3" s="772"/>
      <c r="O3" s="772"/>
      <c r="P3" s="773"/>
      <c r="R3" s="771" t="s">
        <v>363</v>
      </c>
      <c r="S3" s="772"/>
      <c r="T3" s="772"/>
      <c r="U3" s="772"/>
      <c r="V3" s="772"/>
      <c r="W3" s="772"/>
      <c r="X3" s="773"/>
    </row>
    <row r="4" spans="2:33" ht="39" x14ac:dyDescent="0.25">
      <c r="D4" t="s">
        <v>373</v>
      </c>
      <c r="E4" t="s">
        <v>101</v>
      </c>
      <c r="G4" s="209" t="s">
        <v>605</v>
      </c>
      <c r="H4" s="218" t="s">
        <v>281</v>
      </c>
      <c r="I4" s="208" t="s">
        <v>309</v>
      </c>
      <c r="K4" s="208" t="s">
        <v>151</v>
      </c>
      <c r="L4" s="208" t="s">
        <v>306</v>
      </c>
      <c r="M4" s="282" t="s">
        <v>152</v>
      </c>
      <c r="N4" s="209" t="s">
        <v>153</v>
      </c>
      <c r="O4" s="208" t="s">
        <v>77</v>
      </c>
      <c r="P4" s="208" t="s">
        <v>307</v>
      </c>
      <c r="Q4" s="254" t="s">
        <v>130</v>
      </c>
      <c r="R4" s="284" t="s">
        <v>301</v>
      </c>
      <c r="S4" s="284" t="s">
        <v>305</v>
      </c>
      <c r="T4" s="284" t="s">
        <v>272</v>
      </c>
      <c r="U4" s="284" t="s">
        <v>302</v>
      </c>
      <c r="V4" s="284" t="s">
        <v>303</v>
      </c>
      <c r="W4" s="284" t="s">
        <v>304</v>
      </c>
      <c r="X4" s="284" t="s">
        <v>357</v>
      </c>
      <c r="Y4" s="435" t="s">
        <v>471</v>
      </c>
    </row>
    <row r="5" spans="2:33" x14ac:dyDescent="0.25">
      <c r="B5" s="236" t="s">
        <v>330</v>
      </c>
      <c r="C5" s="226"/>
      <c r="D5" s="279"/>
      <c r="E5" s="279"/>
      <c r="F5" s="279"/>
      <c r="G5" s="209"/>
      <c r="H5" s="218"/>
      <c r="I5" s="208"/>
      <c r="J5" s="226"/>
      <c r="K5" s="208"/>
      <c r="L5" s="208"/>
      <c r="M5" s="281"/>
      <c r="N5" s="209"/>
      <c r="O5" s="208"/>
      <c r="P5" s="208"/>
      <c r="Q5" s="301"/>
      <c r="R5" s="308">
        <f>Lab_Rates!$C$6*Escalators!C7*(1+Escalators!C17)</f>
        <v>158.45839054425579</v>
      </c>
      <c r="S5" s="308">
        <f>Lab_Rates!$C$7*Escalators!C7*(1+Escalators!C17)</f>
        <v>148.03349642950209</v>
      </c>
      <c r="T5" s="308">
        <f>Lab_Rates!$C$8*Escalators!C7*(1+Escalators!C17)</f>
        <v>172.01075289343555</v>
      </c>
      <c r="U5" s="308">
        <f>Lab_Rates!$C$9*Escalators!C7*(1+Escalators!C17)</f>
        <v>224.1352234672039</v>
      </c>
      <c r="V5" s="308">
        <f>Lab_Rates!$C$6*Escalators!C7*(1+Escalators!C17)</f>
        <v>158.45839054425579</v>
      </c>
      <c r="W5" s="308">
        <f>Lab_Rates!$C$10*Escalators!C7*(1+Escalators!C17)</f>
        <v>158.45839054425579</v>
      </c>
      <c r="X5" s="308">
        <f>Lab_Rates!$C$5*Escalators!C7*(1+Escalators!C17)</f>
        <v>130.31117643442087</v>
      </c>
    </row>
    <row r="6" spans="2:33" x14ac:dyDescent="0.25">
      <c r="B6" s="239"/>
      <c r="C6" s="161"/>
      <c r="D6" s="161"/>
      <c r="E6" s="161"/>
      <c r="F6" s="161"/>
      <c r="G6" s="259"/>
      <c r="H6" s="219"/>
      <c r="I6" s="252"/>
      <c r="K6" s="259"/>
      <c r="L6" s="259"/>
      <c r="M6" s="259"/>
      <c r="N6" s="210"/>
      <c r="O6" s="259"/>
      <c r="P6" s="211"/>
      <c r="R6" s="309"/>
      <c r="S6" s="309"/>
      <c r="T6" s="309"/>
      <c r="U6" s="309"/>
      <c r="V6" s="309"/>
      <c r="W6" s="309"/>
      <c r="X6" s="309"/>
    </row>
    <row r="7" spans="2:33" x14ac:dyDescent="0.25">
      <c r="B7" s="239" t="s">
        <v>331</v>
      </c>
      <c r="C7" s="161"/>
      <c r="D7" s="161" t="s">
        <v>376</v>
      </c>
      <c r="E7" s="161" t="s">
        <v>376</v>
      </c>
      <c r="F7" s="161"/>
      <c r="G7" s="292"/>
      <c r="H7" s="297"/>
      <c r="I7" s="298"/>
      <c r="K7" s="292"/>
      <c r="L7" s="300">
        <f>SUMPRODUCT(R$5:X$5,R7:X7)/Thousands</f>
        <v>0</v>
      </c>
      <c r="M7" s="525">
        <v>1132.0353982300883</v>
      </c>
      <c r="N7" s="517"/>
      <c r="O7" s="292"/>
      <c r="P7" s="211">
        <f>SUM(K7:O7)</f>
        <v>1132.0353982300883</v>
      </c>
      <c r="Q7" s="19"/>
      <c r="R7" s="310">
        <v>0</v>
      </c>
      <c r="S7" s="313"/>
      <c r="T7" s="313"/>
      <c r="U7" s="313"/>
      <c r="V7" s="313"/>
      <c r="W7" s="313"/>
      <c r="X7" s="313"/>
    </row>
    <row r="8" spans="2:33" x14ac:dyDescent="0.25">
      <c r="B8" s="222"/>
      <c r="C8" s="43"/>
      <c r="D8" s="43"/>
      <c r="E8" s="43"/>
      <c r="F8" s="43"/>
      <c r="G8" s="229"/>
      <c r="H8" s="272"/>
      <c r="I8" s="251"/>
      <c r="K8" s="229"/>
      <c r="L8" s="229"/>
      <c r="M8" s="229"/>
      <c r="N8" s="229"/>
      <c r="O8" s="229"/>
      <c r="P8" s="230"/>
      <c r="R8" s="309"/>
      <c r="S8" s="309"/>
      <c r="T8" s="309"/>
      <c r="U8" s="309"/>
      <c r="V8" s="309"/>
      <c r="W8" s="309"/>
      <c r="X8" s="309"/>
    </row>
    <row r="9" spans="2:33" x14ac:dyDescent="0.25">
      <c r="B9" s="225" t="s">
        <v>285</v>
      </c>
      <c r="C9" s="226"/>
      <c r="D9" s="279"/>
      <c r="E9" s="279"/>
      <c r="F9" s="279"/>
      <c r="G9" s="227"/>
      <c r="H9" s="273"/>
      <c r="I9" s="208"/>
      <c r="K9" s="227"/>
      <c r="L9" s="227"/>
      <c r="M9" s="227"/>
      <c r="N9" s="227"/>
      <c r="O9" s="227"/>
      <c r="P9" s="231"/>
      <c r="R9" s="309"/>
      <c r="S9" s="309"/>
      <c r="T9" s="309"/>
      <c r="U9" s="309"/>
      <c r="V9" s="309"/>
      <c r="W9" s="309"/>
      <c r="X9" s="309"/>
    </row>
    <row r="10" spans="2:33" x14ac:dyDescent="0.25">
      <c r="B10" s="220"/>
      <c r="C10" s="161" t="s">
        <v>286</v>
      </c>
      <c r="D10" s="161" t="s">
        <v>376</v>
      </c>
      <c r="E10" s="161" t="s">
        <v>376</v>
      </c>
      <c r="F10" s="161"/>
      <c r="G10" s="292"/>
      <c r="H10" s="297"/>
      <c r="I10" s="298"/>
      <c r="K10" s="291"/>
      <c r="L10" s="213">
        <f>SUMPRODUCT(R$5:X$5,R10:X10)/Thousands</f>
        <v>74.575522539301843</v>
      </c>
      <c r="M10" s="290"/>
      <c r="N10" s="290">
        <v>0</v>
      </c>
      <c r="O10" s="291"/>
      <c r="P10" s="211">
        <f>SUM(K10:O10)</f>
        <v>74.575522539301843</v>
      </c>
      <c r="Q10" s="19"/>
      <c r="R10" s="310">
        <v>412.05263157894734</v>
      </c>
      <c r="S10" s="310">
        <v>32</v>
      </c>
      <c r="T10" s="310">
        <v>16</v>
      </c>
      <c r="U10" s="310">
        <v>8</v>
      </c>
      <c r="V10" s="310"/>
      <c r="W10" s="310"/>
      <c r="X10" s="310"/>
      <c r="Y10" s="14">
        <f>SUM(R10:X10)</f>
        <v>468.05263157894734</v>
      </c>
      <c r="AA10" s="15"/>
      <c r="AB10" s="15"/>
      <c r="AC10" s="15"/>
      <c r="AD10" s="15"/>
      <c r="AE10" s="15"/>
      <c r="AF10" s="15"/>
      <c r="AG10" s="15"/>
    </row>
    <row r="11" spans="2:33" x14ac:dyDescent="0.25">
      <c r="B11" s="220"/>
      <c r="C11" s="161" t="s">
        <v>287</v>
      </c>
      <c r="D11" s="161" t="s">
        <v>376</v>
      </c>
      <c r="E11" s="161" t="s">
        <v>376</v>
      </c>
      <c r="F11" s="161"/>
      <c r="G11" s="292"/>
      <c r="H11" s="297"/>
      <c r="I11" s="298"/>
      <c r="K11" s="291"/>
      <c r="L11" s="213">
        <f>SUMPRODUCT(R$5:X$5,R11:X11)/Thousands</f>
        <v>463.48245242665638</v>
      </c>
      <c r="M11" s="290"/>
      <c r="N11" s="525">
        <v>0</v>
      </c>
      <c r="O11" s="291"/>
      <c r="P11" s="211">
        <f>SUM(K11:O11)</f>
        <v>463.48245242665638</v>
      </c>
      <c r="Q11" s="325"/>
      <c r="R11" s="310">
        <v>301.65789473684208</v>
      </c>
      <c r="S11" s="310"/>
      <c r="T11" s="310">
        <v>676.969696969697</v>
      </c>
      <c r="U11" s="310">
        <v>96</v>
      </c>
      <c r="V11" s="310">
        <v>551.28947368421052</v>
      </c>
      <c r="W11" s="310">
        <v>1201.3421052631579</v>
      </c>
      <c r="X11" s="310"/>
      <c r="Y11" s="14">
        <f>SUM(R11:X11)</f>
        <v>2827.2591706539074</v>
      </c>
      <c r="AA11" s="15"/>
      <c r="AB11" s="15"/>
      <c r="AC11" s="15"/>
      <c r="AD11" s="15"/>
      <c r="AE11" s="15"/>
      <c r="AF11" s="15"/>
      <c r="AG11" s="15"/>
    </row>
    <row r="12" spans="2:33" x14ac:dyDescent="0.25">
      <c r="B12" s="220"/>
      <c r="C12" s="161" t="s">
        <v>320</v>
      </c>
      <c r="D12" s="161" t="s">
        <v>376</v>
      </c>
      <c r="E12" s="161" t="s">
        <v>376</v>
      </c>
      <c r="F12" s="161"/>
      <c r="G12" s="292"/>
      <c r="H12" s="297"/>
      <c r="I12" s="298"/>
      <c r="K12" s="291"/>
      <c r="L12" s="213">
        <f>SUMPRODUCT(R$5:X$5,R12:X12)/Thousands</f>
        <v>357.78236601834595</v>
      </c>
      <c r="M12" s="290"/>
      <c r="N12" s="290">
        <v>0</v>
      </c>
      <c r="O12" s="291"/>
      <c r="P12" s="211">
        <f>SUM(K12:O12)</f>
        <v>357.78236601834595</v>
      </c>
      <c r="Q12" s="19"/>
      <c r="R12" s="310"/>
      <c r="S12" s="310"/>
      <c r="T12" s="310">
        <v>270.39999999999998</v>
      </c>
      <c r="U12" s="310"/>
      <c r="V12" s="310">
        <v>587.0526315789474</v>
      </c>
      <c r="W12" s="310">
        <v>180.63157894736841</v>
      </c>
      <c r="X12" s="310">
        <v>1455.1679999999999</v>
      </c>
      <c r="Y12" s="14">
        <f>SUM(R12:X12)</f>
        <v>2493.2522105263156</v>
      </c>
      <c r="AA12" s="15"/>
      <c r="AB12" s="15"/>
      <c r="AC12" s="15"/>
      <c r="AD12" s="15"/>
      <c r="AE12" s="15"/>
      <c r="AF12" s="15"/>
      <c r="AG12" s="15"/>
    </row>
    <row r="13" spans="2:33" x14ac:dyDescent="0.25">
      <c r="B13" s="220"/>
      <c r="C13" s="161" t="s">
        <v>288</v>
      </c>
      <c r="D13" s="161" t="s">
        <v>376</v>
      </c>
      <c r="E13" s="161" t="s">
        <v>376</v>
      </c>
      <c r="F13" s="161"/>
      <c r="G13" s="292"/>
      <c r="H13" s="297"/>
      <c r="I13" s="298"/>
      <c r="K13" s="291"/>
      <c r="L13" s="213">
        <f>SUMPRODUCT(R$5:X$5,R13:X13)/Thousands</f>
        <v>130.31117643442087</v>
      </c>
      <c r="M13" s="290"/>
      <c r="N13" s="290">
        <v>0</v>
      </c>
      <c r="O13" s="291"/>
      <c r="P13" s="211">
        <f>SUM(K13:O13)</f>
        <v>130.31117643442087</v>
      </c>
      <c r="Q13" s="19"/>
      <c r="R13" s="310">
        <v>0</v>
      </c>
      <c r="S13" s="310">
        <v>0</v>
      </c>
      <c r="T13" s="310">
        <v>757.57575757575762</v>
      </c>
      <c r="U13" s="310">
        <v>0</v>
      </c>
      <c r="V13" s="310">
        <v>0</v>
      </c>
      <c r="W13" s="310">
        <v>0</v>
      </c>
      <c r="X13" s="310">
        <v>0</v>
      </c>
      <c r="Y13" s="14">
        <f>SUM(R13:X13)</f>
        <v>757.57575757575762</v>
      </c>
      <c r="AA13" s="15"/>
      <c r="AB13" s="15"/>
      <c r="AC13" s="15"/>
      <c r="AD13" s="15"/>
      <c r="AE13" s="15"/>
      <c r="AF13" s="15"/>
      <c r="AG13" s="15"/>
    </row>
    <row r="14" spans="2:33" x14ac:dyDescent="0.25">
      <c r="B14" s="222"/>
      <c r="C14" s="43"/>
      <c r="D14" s="43"/>
      <c r="E14" s="43"/>
      <c r="F14" s="43"/>
      <c r="G14" s="229"/>
      <c r="H14" s="228"/>
      <c r="I14" s="251"/>
      <c r="K14" s="232"/>
      <c r="L14" s="233"/>
      <c r="M14" s="233"/>
      <c r="N14" s="234"/>
      <c r="O14" s="232"/>
      <c r="P14" s="235"/>
      <c r="R14" s="309"/>
      <c r="S14" s="309"/>
      <c r="T14" s="309"/>
      <c r="U14" s="309"/>
      <c r="V14" s="309"/>
      <c r="W14" s="309"/>
      <c r="X14" s="309"/>
    </row>
    <row r="15" spans="2:33" x14ac:dyDescent="0.25">
      <c r="B15" s="225" t="s">
        <v>277</v>
      </c>
      <c r="C15" s="226"/>
      <c r="D15" s="279"/>
      <c r="E15" s="279"/>
      <c r="F15" s="279"/>
      <c r="G15" s="283"/>
      <c r="H15" s="236"/>
      <c r="I15" s="231"/>
      <c r="K15" s="237"/>
      <c r="L15" s="237"/>
      <c r="M15" s="331"/>
      <c r="N15" s="237"/>
      <c r="O15" s="237"/>
      <c r="P15" s="238"/>
      <c r="Q15" s="11"/>
      <c r="R15" s="312"/>
      <c r="S15" s="309"/>
      <c r="T15" s="309"/>
      <c r="U15" s="309"/>
      <c r="V15" s="309"/>
      <c r="W15" s="309"/>
      <c r="X15" s="309"/>
      <c r="AA15" s="28"/>
      <c r="AB15" s="28"/>
      <c r="AC15" s="28"/>
      <c r="AD15" s="28"/>
      <c r="AE15" s="28"/>
      <c r="AF15" s="28"/>
      <c r="AG15" s="28"/>
    </row>
    <row r="16" spans="2:33" x14ac:dyDescent="0.25">
      <c r="B16" s="239" t="s">
        <v>279</v>
      </c>
      <c r="C16" s="161"/>
      <c r="D16" s="161"/>
      <c r="E16" s="161"/>
      <c r="F16" s="161"/>
      <c r="G16" s="216"/>
      <c r="H16" s="220"/>
      <c r="I16" s="212"/>
      <c r="J16" s="147"/>
      <c r="K16" s="213"/>
      <c r="L16" s="213"/>
      <c r="M16" s="213"/>
      <c r="N16" s="213"/>
      <c r="O16" s="213"/>
      <c r="P16" s="212"/>
      <c r="R16" s="309"/>
      <c r="S16" s="309"/>
      <c r="T16" s="309"/>
      <c r="U16" s="309"/>
      <c r="V16" s="309"/>
      <c r="W16" s="309"/>
      <c r="X16" s="309"/>
      <c r="AA16" s="28"/>
      <c r="AB16" s="28"/>
      <c r="AC16" s="28"/>
      <c r="AD16" s="28"/>
      <c r="AE16" s="28"/>
      <c r="AF16" s="28"/>
      <c r="AG16" s="28"/>
    </row>
    <row r="17" spans="2:33" x14ac:dyDescent="0.25">
      <c r="B17" s="220"/>
      <c r="C17" s="224" t="s">
        <v>322</v>
      </c>
      <c r="D17" s="161" t="str">
        <f>INDEX(Unit_Rates!$C$7:$K$59,MATCH($C17,Unit_Rates!$C$7:$C$59,0),5)</f>
        <v>Subtransmission</v>
      </c>
      <c r="E17" s="161" t="str">
        <f>INDEX(Unit_Rates!$C$7:$K$59,MATCH($C17,Unit_Rates!$C$7:$C$59,0),6)</f>
        <v>Augmentation</v>
      </c>
      <c r="F17" s="161" t="str">
        <f>D17&amp;E17</f>
        <v>SubtransmissionAugmentation</v>
      </c>
      <c r="G17" s="256">
        <f>INDEX(Unit_Rates!$C$7:$K$59,MATCH($C17,Unit_Rates!$C$7:$C$59,0),7)</f>
        <v>68.506065486725646</v>
      </c>
      <c r="H17" s="518">
        <v>2</v>
      </c>
      <c r="I17" s="252" t="s">
        <v>308</v>
      </c>
      <c r="J17" s="147"/>
      <c r="K17" s="214">
        <f>G17*$H17</f>
        <v>137.01213097345129</v>
      </c>
      <c r="L17" s="286">
        <f t="shared" ref="L17:L41" si="0">SUMPRODUCT(R$5:X$5,R17:X17)/Thousands</f>
        <v>0</v>
      </c>
      <c r="M17" s="332"/>
      <c r="N17" s="751"/>
      <c r="O17" s="754"/>
      <c r="P17" s="750"/>
      <c r="Q17" s="317"/>
      <c r="R17" s="310">
        <v>0</v>
      </c>
      <c r="S17" s="310">
        <v>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14">
        <f t="shared" ref="Y17:Y42" si="1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25">
      <c r="B18" s="220"/>
      <c r="C18" s="224" t="s">
        <v>345</v>
      </c>
      <c r="D18" s="161" t="str">
        <f>INDEX(Unit_Rates!$C$7:$K$59,MATCH($C18,Unit_Rates!$C$7:$C$59,0),5)</f>
        <v>Subtransmission</v>
      </c>
      <c r="E18" s="161" t="str">
        <f>INDEX(Unit_Rates!$C$7:$K$59,MATCH($C18,Unit_Rates!$C$7:$C$59,0),6)</f>
        <v>Augmentation</v>
      </c>
      <c r="F18" s="161" t="str">
        <f t="shared" ref="F18:F41" si="2">D18&amp;E18</f>
        <v>SubtransmissionAugmentation</v>
      </c>
      <c r="G18" s="256">
        <f>INDEX(Unit_Rates!$C$7:$K$59,MATCH($C18,Unit_Rates!$C$7:$C$59,0),7)</f>
        <v>106.43774159292033</v>
      </c>
      <c r="H18" s="518"/>
      <c r="I18" s="252" t="s">
        <v>308</v>
      </c>
      <c r="J18" s="147"/>
      <c r="K18" s="214">
        <f>G18*$H18</f>
        <v>0</v>
      </c>
      <c r="L18" s="286">
        <f t="shared" si="0"/>
        <v>0</v>
      </c>
      <c r="M18" s="332"/>
      <c r="N18" s="751"/>
      <c r="O18" s="754"/>
      <c r="P18" s="750"/>
      <c r="Q18" s="317"/>
      <c r="R18" s="310">
        <v>0</v>
      </c>
      <c r="S18" s="310">
        <v>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14">
        <f t="shared" si="1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25">
      <c r="B19" s="220"/>
      <c r="C19" s="224" t="s">
        <v>487</v>
      </c>
      <c r="D19" s="161" t="str">
        <f>INDEX(Unit_Rates!$C$7:$K$59,MATCH($C19,Unit_Rates!$C$7:$C$59,0),5)</f>
        <v>Subtransmission</v>
      </c>
      <c r="E19" s="161" t="str">
        <f>INDEX(Unit_Rates!$C$7:$K$59,MATCH($C19,Unit_Rates!$C$7:$C$59,0),6)</f>
        <v>Augmentation</v>
      </c>
      <c r="F19" s="161" t="str">
        <f t="shared" si="2"/>
        <v>SubtransmissionAugmentation</v>
      </c>
      <c r="G19" s="256">
        <f>INDEX(Unit_Rates!$C$7:$K$59,MATCH($C19,Unit_Rates!$C$7:$C$59,0),7)</f>
        <v>40.541017699115038</v>
      </c>
      <c r="H19" s="518">
        <v>1</v>
      </c>
      <c r="I19" s="252" t="s">
        <v>308</v>
      </c>
      <c r="J19" s="147"/>
      <c r="K19" s="214">
        <f t="shared" ref="K19:K41" si="3">G19*H19</f>
        <v>40.541017699115038</v>
      </c>
      <c r="L19" s="286">
        <f t="shared" si="0"/>
        <v>0</v>
      </c>
      <c r="M19" s="332"/>
      <c r="N19" s="751"/>
      <c r="O19" s="754"/>
      <c r="P19" s="750"/>
      <c r="Q19" s="317"/>
      <c r="R19" s="310">
        <v>0</v>
      </c>
      <c r="S19" s="310">
        <v>0</v>
      </c>
      <c r="T19" s="310">
        <v>0</v>
      </c>
      <c r="U19" s="310">
        <v>0</v>
      </c>
      <c r="V19" s="310">
        <v>0</v>
      </c>
      <c r="W19" s="310">
        <v>0</v>
      </c>
      <c r="X19" s="310">
        <v>0</v>
      </c>
      <c r="Y19" s="14">
        <f t="shared" si="1"/>
        <v>0</v>
      </c>
    </row>
    <row r="20" spans="2:33" x14ac:dyDescent="0.25">
      <c r="B20" s="220"/>
      <c r="C20" s="224" t="s">
        <v>486</v>
      </c>
      <c r="D20" s="161" t="str">
        <f>INDEX(Unit_Rates!$C$7:$K$59,MATCH($C20,Unit_Rates!$C$7:$C$59,0),5)</f>
        <v>Subtransmission</v>
      </c>
      <c r="E20" s="161" t="str">
        <f>INDEX(Unit_Rates!$C$7:$K$59,MATCH($C20,Unit_Rates!$C$7:$C$59,0),6)</f>
        <v>Augmentation</v>
      </c>
      <c r="F20" s="161" t="str">
        <f t="shared" si="2"/>
        <v>SubtransmissionAugmentation</v>
      </c>
      <c r="G20" s="256">
        <f>INDEX(Unit_Rates!$C$7:$K$59,MATCH($C20,Unit_Rates!$C$7:$C$59,0),7)</f>
        <v>37.069442477876102</v>
      </c>
      <c r="H20" s="518">
        <v>1</v>
      </c>
      <c r="I20" s="252" t="s">
        <v>308</v>
      </c>
      <c r="J20" s="147"/>
      <c r="K20" s="214">
        <f>G20*H20</f>
        <v>37.069442477876102</v>
      </c>
      <c r="L20" s="286">
        <f t="shared" si="0"/>
        <v>0</v>
      </c>
      <c r="M20" s="332"/>
      <c r="N20" s="751"/>
      <c r="O20" s="754"/>
      <c r="P20" s="750"/>
      <c r="Q20" s="317"/>
      <c r="R20" s="310">
        <v>0</v>
      </c>
      <c r="S20" s="310">
        <v>0</v>
      </c>
      <c r="T20" s="310">
        <v>0</v>
      </c>
      <c r="U20" s="310">
        <v>0</v>
      </c>
      <c r="V20" s="310">
        <v>0</v>
      </c>
      <c r="W20" s="310">
        <v>0</v>
      </c>
      <c r="X20" s="310">
        <v>0</v>
      </c>
      <c r="Y20" s="14">
        <f t="shared" si="1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25">
      <c r="B21" s="220"/>
      <c r="C21" s="224" t="s">
        <v>282</v>
      </c>
      <c r="D21" s="161" t="str">
        <f>INDEX(Unit_Rates!$C$7:$K$59,MATCH($C21,Unit_Rates!$C$7:$C$59,0),5)</f>
        <v>SCADA/Network control</v>
      </c>
      <c r="E21" s="161" t="str">
        <f>INDEX(Unit_Rates!$C$7:$K$59,MATCH($C21,Unit_Rates!$C$7:$C$59,0),6)</f>
        <v>Augmentation</v>
      </c>
      <c r="F21" s="161" t="str">
        <f t="shared" si="2"/>
        <v>SCADA/Network controlAugmentation</v>
      </c>
      <c r="G21" s="256">
        <f>INDEX(Unit_Rates!$C$7:$K$59,MATCH($C21,Unit_Rates!$C$7:$C$59,0),7)</f>
        <v>1092.6971681415926</v>
      </c>
      <c r="H21" s="518">
        <v>1</v>
      </c>
      <c r="I21" s="252" t="s">
        <v>308</v>
      </c>
      <c r="J21" s="147"/>
      <c r="K21" s="214">
        <f t="shared" si="3"/>
        <v>1092.6971681415926</v>
      </c>
      <c r="L21" s="286">
        <f t="shared" si="0"/>
        <v>0</v>
      </c>
      <c r="M21" s="332"/>
      <c r="N21" s="751"/>
      <c r="O21" s="754"/>
      <c r="P21" s="750"/>
      <c r="Q21" s="317"/>
      <c r="R21" s="310">
        <v>0</v>
      </c>
      <c r="S21" s="310">
        <v>0</v>
      </c>
      <c r="T21" s="310">
        <v>0</v>
      </c>
      <c r="U21" s="310">
        <v>0</v>
      </c>
      <c r="V21" s="310">
        <v>0</v>
      </c>
      <c r="W21" s="310">
        <v>0</v>
      </c>
      <c r="X21" s="310">
        <v>0</v>
      </c>
      <c r="Y21" s="14">
        <f t="shared" si="1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25">
      <c r="B22" s="220"/>
      <c r="C22" s="224" t="s">
        <v>324</v>
      </c>
      <c r="D22" s="161" t="str">
        <f>INDEX(Unit_Rates!$C$7:$K$59,MATCH($C22,Unit_Rates!$C$7:$C$59,0),5)</f>
        <v>Subtransmission</v>
      </c>
      <c r="E22" s="161" t="str">
        <f>INDEX(Unit_Rates!$C$7:$K$59,MATCH($C22,Unit_Rates!$C$7:$C$59,0),6)</f>
        <v>Augmentation</v>
      </c>
      <c r="F22" s="161" t="str">
        <f t="shared" si="2"/>
        <v>SubtransmissionAugmentation</v>
      </c>
      <c r="G22" s="256">
        <f>INDEX(Unit_Rates!$C$7:$K$59,MATCH($C22,Unit_Rates!$C$7:$C$59,0),7)</f>
        <v>0</v>
      </c>
      <c r="H22" s="518">
        <v>1</v>
      </c>
      <c r="I22" s="252" t="s">
        <v>308</v>
      </c>
      <c r="J22" s="147"/>
      <c r="K22" s="214">
        <f t="shared" si="3"/>
        <v>0</v>
      </c>
      <c r="L22" s="286">
        <f t="shared" si="0"/>
        <v>0</v>
      </c>
      <c r="M22" s="332"/>
      <c r="N22" s="751"/>
      <c r="O22" s="754"/>
      <c r="P22" s="750"/>
      <c r="Q22" s="317"/>
      <c r="R22" s="310">
        <v>0</v>
      </c>
      <c r="S22" s="310">
        <v>0</v>
      </c>
      <c r="T22" s="310">
        <v>0</v>
      </c>
      <c r="U22" s="310">
        <v>0</v>
      </c>
      <c r="V22" s="310">
        <v>0</v>
      </c>
      <c r="W22" s="310">
        <v>0</v>
      </c>
      <c r="X22" s="310">
        <v>0</v>
      </c>
      <c r="Y22" s="14">
        <f t="shared" si="1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25">
      <c r="B23" s="220"/>
      <c r="C23" s="224" t="s">
        <v>296</v>
      </c>
      <c r="D23" s="161" t="str">
        <f>INDEX(Unit_Rates!$C$7:$K$59,MATCH($C23,Unit_Rates!$C$7:$C$59,0),5)</f>
        <v>Subtransmission</v>
      </c>
      <c r="E23" s="161" t="str">
        <f>INDEX(Unit_Rates!$C$7:$K$59,MATCH($C23,Unit_Rates!$C$7:$C$59,0),6)</f>
        <v>Augmentation</v>
      </c>
      <c r="F23" s="161" t="str">
        <f t="shared" si="2"/>
        <v>SubtransmissionAugmentation</v>
      </c>
      <c r="G23" s="256">
        <f>INDEX(Unit_Rates!$C$7:$K$59,MATCH($C23,Unit_Rates!$C$7:$C$59,0),7)</f>
        <v>1277.3132743362828</v>
      </c>
      <c r="H23" s="518"/>
      <c r="I23" s="252" t="s">
        <v>308</v>
      </c>
      <c r="J23" s="147"/>
      <c r="K23" s="214">
        <f t="shared" si="3"/>
        <v>0</v>
      </c>
      <c r="L23" s="286">
        <f t="shared" si="0"/>
        <v>0</v>
      </c>
      <c r="M23" s="332"/>
      <c r="N23" s="751"/>
      <c r="O23" s="754"/>
      <c r="P23" s="750"/>
      <c r="Q23" s="317"/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14">
        <f t="shared" si="1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25">
      <c r="B24" s="220"/>
      <c r="C24" s="224" t="s">
        <v>295</v>
      </c>
      <c r="D24" s="161" t="str">
        <f>INDEX(Unit_Rates!$C$7:$K$59,MATCH($C24,Unit_Rates!$C$7:$C$59,0),5)</f>
        <v>Subtransmission</v>
      </c>
      <c r="E24" s="161" t="str">
        <f>INDEX(Unit_Rates!$C$7:$K$59,MATCH($C24,Unit_Rates!$C$7:$C$59,0),6)</f>
        <v>Augmentation</v>
      </c>
      <c r="F24" s="161" t="str">
        <f t="shared" si="2"/>
        <v>SubtransmissionAugmentation</v>
      </c>
      <c r="G24" s="256">
        <f>INDEX(Unit_Rates!$C$7:$K$59,MATCH($C24,Unit_Rates!$C$7:$C$59,0),7)</f>
        <v>1378.3627906976742</v>
      </c>
      <c r="H24" s="518"/>
      <c r="I24" s="252" t="s">
        <v>308</v>
      </c>
      <c r="J24" s="147"/>
      <c r="K24" s="214">
        <f t="shared" si="3"/>
        <v>0</v>
      </c>
      <c r="L24" s="286">
        <f t="shared" si="0"/>
        <v>0</v>
      </c>
      <c r="M24" s="332"/>
      <c r="N24" s="751"/>
      <c r="O24" s="754"/>
      <c r="P24" s="750"/>
      <c r="Q24" s="317"/>
      <c r="R24" s="310">
        <v>0</v>
      </c>
      <c r="S24" s="310">
        <v>0</v>
      </c>
      <c r="T24" s="310">
        <v>0</v>
      </c>
      <c r="U24" s="310">
        <v>0</v>
      </c>
      <c r="V24" s="310">
        <v>0</v>
      </c>
      <c r="W24" s="310">
        <v>0</v>
      </c>
      <c r="X24" s="310">
        <v>0</v>
      </c>
      <c r="Y24" s="14">
        <f t="shared" si="1"/>
        <v>0</v>
      </c>
    </row>
    <row r="25" spans="2:33" x14ac:dyDescent="0.25">
      <c r="B25" s="220"/>
      <c r="C25" s="224" t="s">
        <v>502</v>
      </c>
      <c r="D25" s="161" t="str">
        <f>INDEX(Unit_Rates!$C$7:$K$59,MATCH($C25,Unit_Rates!$C$7:$C$59,0),5)</f>
        <v>Subtransmission</v>
      </c>
      <c r="E25" s="161" t="str">
        <f>INDEX(Unit_Rates!$C$7:$K$59,MATCH($C25,Unit_Rates!$C$7:$C$59,0),6)</f>
        <v>Augmentation</v>
      </c>
      <c r="F25" s="161" t="str">
        <f t="shared" si="2"/>
        <v>SubtransmissionAugmentation</v>
      </c>
      <c r="G25" s="256">
        <f>INDEX(Unit_Rates!$C$7:$K$59,MATCH($C25,Unit_Rates!$C$7:$C$59,0),7)</f>
        <v>240.94241415929196</v>
      </c>
      <c r="H25" s="518">
        <v>1</v>
      </c>
      <c r="I25" s="252" t="s">
        <v>308</v>
      </c>
      <c r="J25" s="147"/>
      <c r="K25" s="214">
        <f t="shared" si="3"/>
        <v>240.94241415929196</v>
      </c>
      <c r="L25" s="286">
        <f t="shared" si="0"/>
        <v>0</v>
      </c>
      <c r="M25" s="332"/>
      <c r="N25" s="751"/>
      <c r="O25" s="754"/>
      <c r="P25" s="750"/>
      <c r="Q25" s="317"/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14">
        <f t="shared" si="1"/>
        <v>0</v>
      </c>
    </row>
    <row r="26" spans="2:33" x14ac:dyDescent="0.25">
      <c r="B26" s="220"/>
      <c r="C26" s="224" t="s">
        <v>383</v>
      </c>
      <c r="D26" s="161" t="str">
        <f>INDEX(Unit_Rates!$C$7:$K$59,MATCH($C26,Unit_Rates!$C$7:$C$59,0),5)</f>
        <v>Subtransmission</v>
      </c>
      <c r="E26" s="161" t="str">
        <f>INDEX(Unit_Rates!$C$7:$K$59,MATCH($C26,Unit_Rates!$C$7:$C$59,0),6)</f>
        <v>Augmentation</v>
      </c>
      <c r="F26" s="161" t="str">
        <f t="shared" si="2"/>
        <v>SubtransmissionAugmentation</v>
      </c>
      <c r="G26" s="256">
        <f>INDEX(Unit_Rates!$C$7:$K$59,MATCH($C26,Unit_Rates!$C$7:$C$59,0),7)</f>
        <v>0</v>
      </c>
      <c r="H26" s="518"/>
      <c r="I26" s="252" t="s">
        <v>308</v>
      </c>
      <c r="J26" s="147"/>
      <c r="K26" s="214">
        <f>G26*H26</f>
        <v>0</v>
      </c>
      <c r="L26" s="286">
        <f t="shared" si="0"/>
        <v>0</v>
      </c>
      <c r="M26" s="332"/>
      <c r="N26" s="751"/>
      <c r="O26" s="754"/>
      <c r="P26" s="750"/>
      <c r="Q26" s="317"/>
      <c r="R26" s="310">
        <v>0</v>
      </c>
      <c r="S26" s="310">
        <v>0</v>
      </c>
      <c r="T26" s="310">
        <v>0</v>
      </c>
      <c r="U26" s="310">
        <v>0</v>
      </c>
      <c r="V26" s="310">
        <v>0</v>
      </c>
      <c r="W26" s="310">
        <v>0</v>
      </c>
      <c r="X26" s="310">
        <v>0</v>
      </c>
      <c r="Y26" s="14">
        <f t="shared" si="1"/>
        <v>0</v>
      </c>
    </row>
    <row r="27" spans="2:33" x14ac:dyDescent="0.25">
      <c r="B27" s="220"/>
      <c r="C27" s="224" t="s">
        <v>361</v>
      </c>
      <c r="D27" s="161" t="str">
        <f>INDEX(Unit_Rates!$C$7:$K$59,MATCH($C27,Unit_Rates!$C$7:$C$59,0),5)</f>
        <v>Subtransmission</v>
      </c>
      <c r="E27" s="161" t="str">
        <f>INDEX(Unit_Rates!$C$7:$K$59,MATCH($C27,Unit_Rates!$C$7:$C$59,0),6)</f>
        <v>Augmentation</v>
      </c>
      <c r="F27" s="161" t="str">
        <f t="shared" si="2"/>
        <v>SubtransmissionAugmentation</v>
      </c>
      <c r="G27" s="256">
        <f>INDEX(Unit_Rates!$C$7:$K$59,MATCH($C27,Unit_Rates!$C$7:$C$59,0),7)</f>
        <v>100.94548318584069</v>
      </c>
      <c r="H27" s="518">
        <v>4</v>
      </c>
      <c r="I27" s="252" t="s">
        <v>308</v>
      </c>
      <c r="J27" s="147"/>
      <c r="K27" s="214">
        <f t="shared" ref="K27:K33" si="4">G27*H27</f>
        <v>403.78193274336274</v>
      </c>
      <c r="L27" s="286">
        <f t="shared" si="0"/>
        <v>0</v>
      </c>
      <c r="M27" s="332"/>
      <c r="N27" s="751"/>
      <c r="O27" s="754"/>
      <c r="P27" s="750"/>
      <c r="Q27" s="317"/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14">
        <f t="shared" si="1"/>
        <v>0</v>
      </c>
    </row>
    <row r="28" spans="2:33" x14ac:dyDescent="0.25">
      <c r="B28" s="220"/>
      <c r="C28" s="224" t="s">
        <v>348</v>
      </c>
      <c r="D28" s="161" t="str">
        <f>INDEX(Unit_Rates!$C$7:$K$59,MATCH($C28,Unit_Rates!$C$7:$C$59,0),5)</f>
        <v>Subtransmission</v>
      </c>
      <c r="E28" s="161" t="str">
        <f>INDEX(Unit_Rates!$C$7:$K$59,MATCH($C28,Unit_Rates!$C$7:$C$59,0),6)</f>
        <v>Augmentation</v>
      </c>
      <c r="F28" s="161" t="str">
        <f t="shared" si="2"/>
        <v>SubtransmissionAugmentation</v>
      </c>
      <c r="G28" s="256">
        <f>INDEX(Unit_Rates!$C$7:$K$59,MATCH($C28,Unit_Rates!$C$7:$C$59,0),7)</f>
        <v>7.2299327433628298</v>
      </c>
      <c r="H28" s="518">
        <v>6</v>
      </c>
      <c r="I28" s="252" t="s">
        <v>308</v>
      </c>
      <c r="J28" s="147"/>
      <c r="K28" s="214">
        <f t="shared" si="4"/>
        <v>43.379596460176977</v>
      </c>
      <c r="L28" s="286">
        <f t="shared" si="0"/>
        <v>0</v>
      </c>
      <c r="M28" s="332"/>
      <c r="N28" s="751"/>
      <c r="O28" s="754"/>
      <c r="P28" s="750"/>
      <c r="Q28" s="317"/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14">
        <f t="shared" si="1"/>
        <v>0</v>
      </c>
    </row>
    <row r="29" spans="2:33" x14ac:dyDescent="0.25">
      <c r="B29" s="220"/>
      <c r="C29" s="224" t="s">
        <v>347</v>
      </c>
      <c r="D29" s="161" t="str">
        <f>INDEX(Unit_Rates!$C$7:$K$59,MATCH($C29,Unit_Rates!$C$7:$C$59,0),5)</f>
        <v>Subtransmission</v>
      </c>
      <c r="E29" s="161" t="str">
        <f>INDEX(Unit_Rates!$C$7:$K$59,MATCH($C29,Unit_Rates!$C$7:$C$59,0),6)</f>
        <v>Augmentation</v>
      </c>
      <c r="F29" s="161" t="str">
        <f t="shared" si="2"/>
        <v>SubtransmissionAugmentation</v>
      </c>
      <c r="G29" s="256">
        <f>INDEX(Unit_Rates!$C$7:$K$59,MATCH($C29,Unit_Rates!$C$7:$C$59,0),7)</f>
        <v>0</v>
      </c>
      <c r="H29" s="518"/>
      <c r="I29" s="252" t="s">
        <v>308</v>
      </c>
      <c r="J29" s="147"/>
      <c r="K29" s="214">
        <f t="shared" si="4"/>
        <v>0</v>
      </c>
      <c r="L29" s="286">
        <f t="shared" si="0"/>
        <v>0</v>
      </c>
      <c r="M29" s="332"/>
      <c r="N29" s="751"/>
      <c r="O29" s="754"/>
      <c r="P29" s="750"/>
      <c r="Q29" s="317"/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14">
        <f t="shared" si="1"/>
        <v>0</v>
      </c>
    </row>
    <row r="30" spans="2:33" x14ac:dyDescent="0.25">
      <c r="B30" s="220"/>
      <c r="C30" s="224" t="s">
        <v>349</v>
      </c>
      <c r="D30" s="161" t="str">
        <f>INDEX(Unit_Rates!$C$7:$K$59,MATCH($C30,Unit_Rates!$C$7:$C$59,0),5)</f>
        <v>Subtransmission</v>
      </c>
      <c r="E30" s="161" t="str">
        <f>INDEX(Unit_Rates!$C$7:$K$59,MATCH($C30,Unit_Rates!$C$7:$C$59,0),6)</f>
        <v>Augmentation</v>
      </c>
      <c r="F30" s="161" t="str">
        <f t="shared" si="2"/>
        <v>SubtransmissionAugmentation</v>
      </c>
      <c r="G30" s="256">
        <f>INDEX(Unit_Rates!$C$7:$K$59,MATCH($C30,Unit_Rates!$C$7:$C$59,0),7)</f>
        <v>0</v>
      </c>
      <c r="H30" s="518">
        <v>1</v>
      </c>
      <c r="I30" s="252" t="s">
        <v>308</v>
      </c>
      <c r="J30" s="147"/>
      <c r="K30" s="214">
        <f t="shared" si="4"/>
        <v>0</v>
      </c>
      <c r="L30" s="286">
        <f t="shared" si="0"/>
        <v>0</v>
      </c>
      <c r="M30" s="332"/>
      <c r="N30" s="751"/>
      <c r="O30" s="754"/>
      <c r="P30" s="750"/>
      <c r="Q30" s="317"/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14">
        <f t="shared" si="1"/>
        <v>0</v>
      </c>
    </row>
    <row r="31" spans="2:33" x14ac:dyDescent="0.25">
      <c r="B31" s="220"/>
      <c r="C31" s="224" t="s">
        <v>477</v>
      </c>
      <c r="D31" s="161" t="str">
        <f>INDEX(Unit_Rates!$C$7:$K$59,MATCH($C31,Unit_Rates!$C$7:$C$59,0),5)</f>
        <v>Subtransmission</v>
      </c>
      <c r="E31" s="161" t="str">
        <f>INDEX(Unit_Rates!$C$7:$K$59,MATCH($C31,Unit_Rates!$C$7:$C$59,0),6)</f>
        <v>Augmentation</v>
      </c>
      <c r="F31" s="161" t="str">
        <f>D31&amp;E31</f>
        <v>SubtransmissionAugmentation</v>
      </c>
      <c r="G31" s="256">
        <f>INDEX(Unit_Rates!$C$7:$K$59,MATCH($C31,Unit_Rates!$C$7:$C$59,0),7)</f>
        <v>0</v>
      </c>
      <c r="H31" s="518">
        <v>6</v>
      </c>
      <c r="I31" s="252" t="s">
        <v>308</v>
      </c>
      <c r="J31" s="147"/>
      <c r="K31" s="214">
        <f t="shared" si="4"/>
        <v>0</v>
      </c>
      <c r="L31" s="286">
        <f t="shared" si="0"/>
        <v>0</v>
      </c>
      <c r="M31" s="332"/>
      <c r="N31" s="751"/>
      <c r="O31" s="751"/>
      <c r="P31" s="750"/>
      <c r="Q31" s="317"/>
      <c r="R31" s="310"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14">
        <f t="shared" si="1"/>
        <v>0</v>
      </c>
    </row>
    <row r="32" spans="2:33" x14ac:dyDescent="0.25">
      <c r="B32" s="220"/>
      <c r="C32" s="224" t="s">
        <v>350</v>
      </c>
      <c r="D32" s="161" t="str">
        <f>INDEX(Unit_Rates!$C$7:$K$59,MATCH($C32,Unit_Rates!$C$7:$C$59,0),5)</f>
        <v>Subtransmission</v>
      </c>
      <c r="E32" s="161" t="str">
        <f>INDEX(Unit_Rates!$C$7:$K$59,MATCH($C32,Unit_Rates!$C$7:$C$59,0),6)</f>
        <v>Augmentation</v>
      </c>
      <c r="F32" s="161" t="str">
        <f t="shared" si="2"/>
        <v>SubtransmissionAugmentation</v>
      </c>
      <c r="G32" s="256">
        <f>INDEX(Unit_Rates!$C$7:$K$59,MATCH($C32,Unit_Rates!$C$7:$C$59,0),7)</f>
        <v>0.58488495575221222</v>
      </c>
      <c r="H32" s="518">
        <v>12</v>
      </c>
      <c r="I32" s="252" t="s">
        <v>308</v>
      </c>
      <c r="J32" s="147"/>
      <c r="K32" s="214">
        <f t="shared" si="4"/>
        <v>7.0186194690265467</v>
      </c>
      <c r="L32" s="286">
        <f t="shared" si="0"/>
        <v>0</v>
      </c>
      <c r="M32" s="332"/>
      <c r="N32" s="751"/>
      <c r="O32" s="754"/>
      <c r="P32" s="750"/>
      <c r="Q32" s="317"/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14">
        <f t="shared" si="1"/>
        <v>0</v>
      </c>
    </row>
    <row r="33" spans="2:25" x14ac:dyDescent="0.25">
      <c r="B33" s="220"/>
      <c r="C33" s="224" t="s">
        <v>479</v>
      </c>
      <c r="D33" s="161" t="str">
        <f>INDEX(Unit_Rates!$C$7:$K$59,MATCH($C33,Unit_Rates!$C$7:$C$59,0),5)</f>
        <v>Subtransmission</v>
      </c>
      <c r="E33" s="161" t="str">
        <f>INDEX(Unit_Rates!$C$7:$K$59,MATCH($C33,Unit_Rates!$C$7:$C$59,0),6)</f>
        <v>Augmentation</v>
      </c>
      <c r="F33" s="161" t="str">
        <f t="shared" si="2"/>
        <v>SubtransmissionAugmentation</v>
      </c>
      <c r="G33" s="256">
        <f>INDEX(Unit_Rates!$C$7:$K$59,MATCH($C33,Unit_Rates!$C$7:$C$59,0),7)</f>
        <v>0</v>
      </c>
      <c r="H33" s="518">
        <v>5</v>
      </c>
      <c r="I33" s="252" t="s">
        <v>308</v>
      </c>
      <c r="J33" s="147"/>
      <c r="K33" s="214">
        <f t="shared" si="4"/>
        <v>0</v>
      </c>
      <c r="L33" s="286">
        <f t="shared" si="0"/>
        <v>0</v>
      </c>
      <c r="M33" s="332"/>
      <c r="N33" s="739"/>
      <c r="O33" s="741"/>
      <c r="P33" s="750"/>
      <c r="Q33" s="317"/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14">
        <f t="shared" si="1"/>
        <v>0</v>
      </c>
    </row>
    <row r="34" spans="2:25" x14ac:dyDescent="0.25">
      <c r="B34" s="220"/>
      <c r="C34" s="224" t="s">
        <v>225</v>
      </c>
      <c r="D34" s="161" t="str">
        <f>INDEX(Unit_Rates!$C$7:$K$59,MATCH($C34,Unit_Rates!$C$7:$C$59,0),5)</f>
        <v>Subtransmission</v>
      </c>
      <c r="E34" s="161" t="str">
        <f>INDEX(Unit_Rates!$C$7:$K$59,MATCH($C34,Unit_Rates!$C$7:$C$59,0),6)</f>
        <v>Augmentation</v>
      </c>
      <c r="F34" s="161" t="str">
        <f t="shared" si="2"/>
        <v>SubtransmissionAugmentation</v>
      </c>
      <c r="G34" s="256">
        <f>INDEX(Unit_Rates!$C$7:$K$59,MATCH($C34,Unit_Rates!$C$7:$C$59,0),7)</f>
        <v>88.538375221238923</v>
      </c>
      <c r="H34" s="518">
        <v>1</v>
      </c>
      <c r="I34" s="252" t="s">
        <v>308</v>
      </c>
      <c r="J34" s="147"/>
      <c r="K34" s="214">
        <f t="shared" si="3"/>
        <v>88.538375221238923</v>
      </c>
      <c r="L34" s="286">
        <f t="shared" si="0"/>
        <v>0</v>
      </c>
      <c r="M34" s="332"/>
      <c r="N34" s="739"/>
      <c r="O34" s="741"/>
      <c r="P34" s="750"/>
      <c r="Q34" s="317"/>
      <c r="R34" s="310">
        <v>0</v>
      </c>
      <c r="S34" s="310">
        <v>0</v>
      </c>
      <c r="T34" s="310">
        <v>0</v>
      </c>
      <c r="U34" s="310">
        <v>0</v>
      </c>
      <c r="V34" s="310">
        <v>0</v>
      </c>
      <c r="W34" s="310">
        <v>0</v>
      </c>
      <c r="X34" s="310">
        <v>0</v>
      </c>
      <c r="Y34" s="14">
        <f t="shared" si="1"/>
        <v>0</v>
      </c>
    </row>
    <row r="35" spans="2:25" x14ac:dyDescent="0.25">
      <c r="B35" s="220"/>
      <c r="C35" s="224" t="s">
        <v>228</v>
      </c>
      <c r="D35" s="161" t="str">
        <f>INDEX(Unit_Rates!$C$7:$K$59,MATCH($C35,Unit_Rates!$C$7:$C$59,0),5)</f>
        <v>Subtransmission</v>
      </c>
      <c r="E35" s="161" t="str">
        <f>INDEX(Unit_Rates!$C$7:$K$59,MATCH($C35,Unit_Rates!$C$7:$C$59,0),6)</f>
        <v>Augmentation</v>
      </c>
      <c r="F35" s="161" t="str">
        <f t="shared" si="2"/>
        <v>SubtransmissionAugmentation</v>
      </c>
      <c r="G35" s="256">
        <f>INDEX(Unit_Rates!$C$7:$K$59,MATCH($C35,Unit_Rates!$C$7:$C$59,0),7)</f>
        <v>0</v>
      </c>
      <c r="H35" s="518">
        <v>1</v>
      </c>
      <c r="I35" s="252" t="s">
        <v>308</v>
      </c>
      <c r="J35" s="147"/>
      <c r="K35" s="214">
        <f t="shared" si="3"/>
        <v>0</v>
      </c>
      <c r="L35" s="286">
        <f t="shared" si="0"/>
        <v>0</v>
      </c>
      <c r="M35" s="332"/>
      <c r="N35" s="739"/>
      <c r="O35" s="741"/>
      <c r="P35" s="750"/>
      <c r="Q35" s="317"/>
      <c r="R35" s="310">
        <v>0</v>
      </c>
      <c r="S35" s="310">
        <v>0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14">
        <f t="shared" si="1"/>
        <v>0</v>
      </c>
    </row>
    <row r="36" spans="2:25" x14ac:dyDescent="0.25">
      <c r="B36" s="220"/>
      <c r="C36" s="224" t="s">
        <v>374</v>
      </c>
      <c r="D36" s="161" t="str">
        <f>INDEX(Unit_Rates!$C$7:$K$59,MATCH($C36,Unit_Rates!$C$7:$C$59,0),5)</f>
        <v>Subtransmission</v>
      </c>
      <c r="E36" s="161" t="str">
        <f>INDEX(Unit_Rates!$C$7:$K$59,MATCH($C36,Unit_Rates!$C$7:$C$59,0),6)</f>
        <v>Augmentation</v>
      </c>
      <c r="F36" s="161" t="str">
        <f t="shared" si="2"/>
        <v>SubtransmissionAugmentation</v>
      </c>
      <c r="G36" s="256">
        <f>INDEX(Unit_Rates!$C$7:$K$59,MATCH($C36,Unit_Rates!$C$7:$C$59,0),7)</f>
        <v>164.69749581395345</v>
      </c>
      <c r="H36" s="518"/>
      <c r="I36" s="252" t="s">
        <v>308</v>
      </c>
      <c r="J36" s="147"/>
      <c r="K36" s="214">
        <f t="shared" si="3"/>
        <v>0</v>
      </c>
      <c r="L36" s="286">
        <f t="shared" si="0"/>
        <v>0</v>
      </c>
      <c r="M36" s="332"/>
      <c r="N36" s="739"/>
      <c r="O36" s="741"/>
      <c r="P36" s="750"/>
      <c r="Q36" s="317"/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14">
        <f t="shared" si="1"/>
        <v>0</v>
      </c>
    </row>
    <row r="37" spans="2:25" x14ac:dyDescent="0.25">
      <c r="B37" s="220"/>
      <c r="C37" s="640" t="s">
        <v>289</v>
      </c>
      <c r="D37" s="161" t="str">
        <f>INDEX(Unit_Rates!$C$7:$K$59,MATCH($C37,Unit_Rates!$C$7:$C$59,0),5)</f>
        <v>Subtransmission</v>
      </c>
      <c r="E37" s="161" t="str">
        <f>INDEX(Unit_Rates!$C$7:$K$59,MATCH($C37,Unit_Rates!$C$7:$C$59,0),6)</f>
        <v>Augmentation</v>
      </c>
      <c r="F37" s="161" t="str">
        <f>D37&amp;E37</f>
        <v>SubtransmissionAugmentation</v>
      </c>
      <c r="G37" s="256">
        <f>INDEX(Unit_Rates!$C$7:$K$59,MATCH($C37,Unit_Rates!$C$7:$C$59,0),7)</f>
        <v>348.13767610619459</v>
      </c>
      <c r="H37" s="682">
        <v>1</v>
      </c>
      <c r="I37" s="266" t="s">
        <v>308</v>
      </c>
      <c r="J37" s="267"/>
      <c r="K37" s="285">
        <f t="shared" si="3"/>
        <v>348.13767610619459</v>
      </c>
      <c r="L37" s="299">
        <f t="shared" si="0"/>
        <v>0</v>
      </c>
      <c r="M37" s="333"/>
      <c r="N37" s="739"/>
      <c r="O37" s="741"/>
      <c r="P37" s="755"/>
      <c r="Q37" s="317"/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14">
        <f t="shared" si="1"/>
        <v>0</v>
      </c>
    </row>
    <row r="38" spans="2:25" x14ac:dyDescent="0.25">
      <c r="B38" s="220"/>
      <c r="C38" s="224" t="s">
        <v>319</v>
      </c>
      <c r="D38" s="161" t="str">
        <f>INDEX(Unit_Rates!$C$7:$K$59,MATCH($C38,Unit_Rates!$C$7:$C$59,0),5)</f>
        <v>Subtransmission</v>
      </c>
      <c r="E38" s="161" t="str">
        <f>INDEX(Unit_Rates!$C$7:$K$59,MATCH($C38,Unit_Rates!$C$7:$C$59,0),6)</f>
        <v>Augmentation</v>
      </c>
      <c r="F38" s="161" t="str">
        <f>D38&amp;E38</f>
        <v>SubtransmissionAugmentation</v>
      </c>
      <c r="G38" s="524">
        <v>0.17077743967691203</v>
      </c>
      <c r="H38" s="518">
        <v>380.4</v>
      </c>
      <c r="I38" s="252" t="s">
        <v>334</v>
      </c>
      <c r="J38" s="147"/>
      <c r="K38" s="214">
        <f t="shared" si="3"/>
        <v>64.96373805309733</v>
      </c>
      <c r="L38" s="286">
        <f t="shared" si="0"/>
        <v>0</v>
      </c>
      <c r="M38" s="332"/>
      <c r="N38" s="739"/>
      <c r="O38" s="741"/>
      <c r="P38" s="750"/>
      <c r="Q38" s="277"/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14">
        <f t="shared" si="1"/>
        <v>0</v>
      </c>
    </row>
    <row r="39" spans="2:25" x14ac:dyDescent="0.25">
      <c r="B39" s="220"/>
      <c r="C39" s="224" t="s">
        <v>704</v>
      </c>
      <c r="D39" s="161" t="str">
        <f>INDEX(Unit_Rates!$C$7:$K$59,MATCH($C39,Unit_Rates!$C$7:$C$59,0),5)</f>
        <v>Subtransmission</v>
      </c>
      <c r="E39" s="161" t="str">
        <f>INDEX(Unit_Rates!$C$7:$K$59,MATCH($C39,Unit_Rates!$C$7:$C$59,0),6)</f>
        <v>Augmentation</v>
      </c>
      <c r="F39" s="161" t="str">
        <f>D39&amp;E39</f>
        <v>SubtransmissionAugmentation</v>
      </c>
      <c r="G39" s="697">
        <f>INDEX(Unit_Rates!$C$7:$K$59,MATCH($C39,Unit_Rates!$C$7:$C$59,0),7)</f>
        <v>4.7168141592920348E-2</v>
      </c>
      <c r="H39" s="518">
        <v>300</v>
      </c>
      <c r="I39" s="252" t="s">
        <v>334</v>
      </c>
      <c r="J39" s="147"/>
      <c r="K39" s="214">
        <f t="shared" si="3"/>
        <v>14.150442477876105</v>
      </c>
      <c r="L39" s="286">
        <f t="shared" si="0"/>
        <v>0</v>
      </c>
      <c r="M39" s="332"/>
      <c r="N39" s="739"/>
      <c r="O39" s="741"/>
      <c r="P39" s="750"/>
      <c r="Q39" s="277"/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14">
        <f>SUM(R39:X39)</f>
        <v>0</v>
      </c>
    </row>
    <row r="40" spans="2:25" x14ac:dyDescent="0.25">
      <c r="B40" s="220"/>
      <c r="C40" s="224" t="s">
        <v>77</v>
      </c>
      <c r="D40" s="161" t="s">
        <v>18</v>
      </c>
      <c r="E40" s="161" t="s">
        <v>42</v>
      </c>
      <c r="F40" s="161" t="s">
        <v>194</v>
      </c>
      <c r="G40" s="524">
        <v>146.80706725663711</v>
      </c>
      <c r="H40" s="518">
        <v>1</v>
      </c>
      <c r="I40" s="252" t="s">
        <v>308</v>
      </c>
      <c r="J40" s="147"/>
      <c r="K40" s="214">
        <f t="shared" si="3"/>
        <v>146.80706725663711</v>
      </c>
      <c r="L40" s="286">
        <f t="shared" si="0"/>
        <v>0</v>
      </c>
      <c r="M40" s="332"/>
      <c r="N40" s="739"/>
      <c r="O40" s="741"/>
      <c r="P40" s="750"/>
      <c r="Q40" s="277"/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14">
        <f t="shared" si="1"/>
        <v>0</v>
      </c>
    </row>
    <row r="41" spans="2:25" x14ac:dyDescent="0.25">
      <c r="B41" s="220"/>
      <c r="C41" s="224" t="str">
        <f>Unit_Rates!C21</f>
        <v>22kV Capacitor Bank (4 x3 MVAr)</v>
      </c>
      <c r="D41" s="161" t="str">
        <f>INDEX(Unit_Rates!$C$7:$K$59,MATCH($C41,Unit_Rates!$C$7:$C$59,0),5)</f>
        <v>Subtransmission</v>
      </c>
      <c r="E41" s="161" t="str">
        <f>INDEX(Unit_Rates!$C$7:$K$59,MATCH($C41,Unit_Rates!$C$7:$C$59,0),6)</f>
        <v>Augmentation</v>
      </c>
      <c r="F41" s="161" t="str">
        <f t="shared" si="2"/>
        <v>SubtransmissionAugmentation</v>
      </c>
      <c r="G41" s="271">
        <f>INDEX(Unit_Rates!$C$7:$K$59,MATCH($C41,Unit_Rates!$C$7:$C$59,0),7)</f>
        <v>339.16535221238934</v>
      </c>
      <c r="H41" s="537"/>
      <c r="I41" s="252" t="s">
        <v>308</v>
      </c>
      <c r="J41" s="147"/>
      <c r="K41" s="214">
        <f t="shared" si="3"/>
        <v>0</v>
      </c>
      <c r="L41" s="215">
        <f t="shared" si="0"/>
        <v>0</v>
      </c>
      <c r="M41" s="560"/>
      <c r="N41" s="739"/>
      <c r="O41" s="739"/>
      <c r="P41" s="740"/>
      <c r="Q41" s="317"/>
      <c r="R41" s="310">
        <v>0</v>
      </c>
      <c r="S41" s="310">
        <v>0</v>
      </c>
      <c r="T41" s="310">
        <v>0</v>
      </c>
      <c r="U41" s="310">
        <v>0</v>
      </c>
      <c r="V41" s="310">
        <v>0</v>
      </c>
      <c r="W41" s="310">
        <v>0</v>
      </c>
      <c r="X41" s="310">
        <v>0</v>
      </c>
      <c r="Y41" s="14">
        <f t="shared" si="1"/>
        <v>0</v>
      </c>
    </row>
    <row r="42" spans="2:25" x14ac:dyDescent="0.25">
      <c r="B42" s="220"/>
      <c r="C42" s="224" t="s">
        <v>700</v>
      </c>
      <c r="D42" s="161"/>
      <c r="E42" s="161"/>
      <c r="F42" s="161"/>
      <c r="G42" s="271"/>
      <c r="H42" s="537"/>
      <c r="I42" s="252"/>
      <c r="J42" s="147"/>
      <c r="K42" s="214"/>
      <c r="L42" s="215"/>
      <c r="M42" s="560"/>
      <c r="N42" s="739"/>
      <c r="O42" s="739"/>
      <c r="P42" s="740"/>
      <c r="Q42" s="317"/>
      <c r="R42" s="310">
        <v>0</v>
      </c>
      <c r="S42" s="310">
        <v>0</v>
      </c>
      <c r="T42" s="310">
        <v>0</v>
      </c>
      <c r="U42" s="310">
        <v>0</v>
      </c>
      <c r="V42" s="310">
        <v>0</v>
      </c>
      <c r="W42" s="310">
        <v>0</v>
      </c>
      <c r="X42" s="310">
        <v>0</v>
      </c>
      <c r="Y42" s="14">
        <f t="shared" si="1"/>
        <v>0</v>
      </c>
    </row>
    <row r="43" spans="2:25" x14ac:dyDescent="0.25">
      <c r="B43" s="220"/>
      <c r="C43" s="224"/>
      <c r="D43" s="161"/>
      <c r="E43" s="161"/>
      <c r="F43" s="161"/>
      <c r="G43" s="256"/>
      <c r="H43" s="598"/>
      <c r="I43" s="212"/>
      <c r="J43" s="147"/>
      <c r="K43" s="213"/>
      <c r="L43" s="212"/>
      <c r="M43" s="212"/>
      <c r="N43" s="531"/>
      <c r="O43" s="531"/>
      <c r="P43" s="212"/>
      <c r="Q43" s="11"/>
      <c r="R43" s="309"/>
      <c r="S43" s="309"/>
      <c r="T43" s="309"/>
      <c r="U43" s="309"/>
      <c r="V43" s="309"/>
      <c r="W43" s="309"/>
      <c r="X43" s="309"/>
      <c r="Y43" s="14"/>
    </row>
    <row r="44" spans="2:25" x14ac:dyDescent="0.25">
      <c r="B44" s="239" t="s">
        <v>323</v>
      </c>
      <c r="C44" s="224"/>
      <c r="D44" s="161"/>
      <c r="E44" s="161"/>
      <c r="F44" s="161"/>
      <c r="G44" s="256"/>
      <c r="H44" s="598"/>
      <c r="I44" s="212"/>
      <c r="J44" s="147"/>
      <c r="K44" s="213"/>
      <c r="L44" s="213"/>
      <c r="M44" s="213"/>
      <c r="N44" s="530"/>
      <c r="O44" s="531"/>
      <c r="P44" s="211"/>
      <c r="Q44" s="48"/>
      <c r="R44" s="309"/>
      <c r="S44" s="309"/>
      <c r="T44" s="309"/>
      <c r="U44" s="309"/>
      <c r="V44" s="309"/>
      <c r="W44" s="309"/>
      <c r="X44" s="309"/>
    </row>
    <row r="45" spans="2:25" x14ac:dyDescent="0.25">
      <c r="B45" s="239"/>
      <c r="C45" s="224" t="s">
        <v>483</v>
      </c>
      <c r="D45" s="161" t="str">
        <f>INDEX(Unit_Rates!$C$7:$K$59,MATCH($C45,Unit_Rates!$C$7:$C$59,0),5)</f>
        <v>SCADA/Network control</v>
      </c>
      <c r="E45" s="161" t="str">
        <f>INDEX(Unit_Rates!$C$7:$K$59,MATCH($C45,Unit_Rates!$C$7:$C$59,0),6)</f>
        <v>Augmentation</v>
      </c>
      <c r="F45" s="161" t="str">
        <f t="shared" ref="F45:F51" si="5">D45&amp;E45</f>
        <v>SCADA/Network controlAugmentation</v>
      </c>
      <c r="G45" s="256">
        <f>INDEX(Unit_Rates!$C$7:$K$59,MATCH($C45,Unit_Rates!$C$7:$C$59,0),7)</f>
        <v>46.208057090239414</v>
      </c>
      <c r="H45" s="518">
        <v>1</v>
      </c>
      <c r="I45" s="252" t="s">
        <v>308</v>
      </c>
      <c r="J45" s="147"/>
      <c r="K45" s="285">
        <f t="shared" ref="K45:K51" si="6">G45*H45</f>
        <v>46.208057090239414</v>
      </c>
      <c r="L45" s="213">
        <f t="shared" ref="L45:L51" si="7">SUMPRODUCT(R$5:X$5,R45:X45)/Thousands</f>
        <v>0</v>
      </c>
      <c r="M45" s="291"/>
      <c r="N45" s="739"/>
      <c r="O45" s="741"/>
      <c r="P45" s="750"/>
      <c r="Q45" s="317"/>
      <c r="R45" s="310">
        <v>0</v>
      </c>
      <c r="S45" s="310">
        <v>0</v>
      </c>
      <c r="T45" s="310">
        <v>0</v>
      </c>
      <c r="U45" s="310">
        <v>0</v>
      </c>
      <c r="V45" s="310">
        <v>0</v>
      </c>
      <c r="W45" s="310">
        <v>0</v>
      </c>
      <c r="X45" s="310">
        <v>0</v>
      </c>
      <c r="Y45" s="14">
        <f t="shared" ref="Y45:Y51" si="8">SUM(R45:X45)</f>
        <v>0</v>
      </c>
    </row>
    <row r="46" spans="2:25" x14ac:dyDescent="0.25">
      <c r="B46" s="239"/>
      <c r="C46" s="224" t="s">
        <v>335</v>
      </c>
      <c r="D46" s="161" t="str">
        <f>INDEX(Unit_Rates!$C$7:$K$59,MATCH($C46,Unit_Rates!$C$7:$C$59,0),5)</f>
        <v>SCADA/Network control</v>
      </c>
      <c r="E46" s="161" t="str">
        <f>INDEX(Unit_Rates!$C$7:$K$59,MATCH($C46,Unit_Rates!$C$7:$C$59,0),6)</f>
        <v>Augmentation</v>
      </c>
      <c r="F46" s="161" t="str">
        <f t="shared" si="5"/>
        <v>SCADA/Network controlAugmentation</v>
      </c>
      <c r="G46" s="256">
        <f>INDEX(Unit_Rates!$C$7:$K$59,MATCH($C46,Unit_Rates!$C$7:$C$59,0),7)</f>
        <v>5.88950276243094</v>
      </c>
      <c r="H46" s="518">
        <v>1</v>
      </c>
      <c r="I46" s="252" t="s">
        <v>308</v>
      </c>
      <c r="J46" s="147"/>
      <c r="K46" s="285">
        <f t="shared" si="6"/>
        <v>5.88950276243094</v>
      </c>
      <c r="L46" s="213">
        <f t="shared" si="7"/>
        <v>0</v>
      </c>
      <c r="M46" s="291"/>
      <c r="N46" s="739"/>
      <c r="O46" s="741"/>
      <c r="P46" s="750"/>
      <c r="Q46" s="317"/>
      <c r="R46" s="310">
        <v>0</v>
      </c>
      <c r="S46" s="310">
        <v>0</v>
      </c>
      <c r="T46" s="310">
        <v>0</v>
      </c>
      <c r="U46" s="310">
        <v>0</v>
      </c>
      <c r="V46" s="310">
        <v>0</v>
      </c>
      <c r="W46" s="310">
        <v>0</v>
      </c>
      <c r="X46" s="310">
        <v>0</v>
      </c>
      <c r="Y46" s="14">
        <f t="shared" si="8"/>
        <v>0</v>
      </c>
    </row>
    <row r="47" spans="2:25" x14ac:dyDescent="0.25">
      <c r="B47" s="239"/>
      <c r="C47" s="224" t="s">
        <v>337</v>
      </c>
      <c r="D47" s="161" t="str">
        <f>INDEX(Unit_Rates!$C$7:$K$59,MATCH($C47,Unit_Rates!$C$7:$C$59,0),5)</f>
        <v>SCADA/Network control</v>
      </c>
      <c r="E47" s="161" t="str">
        <f>INDEX(Unit_Rates!$C$7:$K$59,MATCH($C47,Unit_Rates!$C$7:$C$59,0),6)</f>
        <v>Augmentation</v>
      </c>
      <c r="F47" s="161" t="str">
        <f t="shared" si="5"/>
        <v>SCADA/Network controlAugmentation</v>
      </c>
      <c r="G47" s="256">
        <f>INDEX(Unit_Rates!$C$7:$K$59,MATCH($C47,Unit_Rates!$C$7:$C$59,0),7)</f>
        <v>8.2030957642725593</v>
      </c>
      <c r="H47" s="518"/>
      <c r="I47" s="252" t="s">
        <v>308</v>
      </c>
      <c r="J47" s="147"/>
      <c r="K47" s="285">
        <f>G47*H47</f>
        <v>0</v>
      </c>
      <c r="L47" s="213">
        <f t="shared" si="7"/>
        <v>0</v>
      </c>
      <c r="M47" s="291"/>
      <c r="N47" s="739"/>
      <c r="O47" s="741"/>
      <c r="P47" s="750"/>
      <c r="Q47" s="317"/>
      <c r="R47" s="310">
        <v>0</v>
      </c>
      <c r="S47" s="310">
        <v>0</v>
      </c>
      <c r="T47" s="310">
        <v>0</v>
      </c>
      <c r="U47" s="310">
        <v>0</v>
      </c>
      <c r="V47" s="310">
        <v>0</v>
      </c>
      <c r="W47" s="310">
        <v>0</v>
      </c>
      <c r="X47" s="310">
        <v>0</v>
      </c>
      <c r="Y47" s="14">
        <f t="shared" si="8"/>
        <v>0</v>
      </c>
    </row>
    <row r="48" spans="2:25" x14ac:dyDescent="0.25">
      <c r="B48" s="239"/>
      <c r="C48" s="264" t="s">
        <v>504</v>
      </c>
      <c r="D48" s="161" t="str">
        <f>INDEX(Unit_Rates!$C$7:$K$59,MATCH($C48,Unit_Rates!$C$7:$C$59,0),5)</f>
        <v>SCADA/Network control</v>
      </c>
      <c r="E48" s="161" t="str">
        <f>INDEX(Unit_Rates!$C$7:$K$59,MATCH($C48,Unit_Rates!$C$7:$C$59,0),6)</f>
        <v>Augmentation</v>
      </c>
      <c r="F48" s="161" t="str">
        <f t="shared" si="5"/>
        <v>SCADA/Network controlAugmentation</v>
      </c>
      <c r="G48" s="271">
        <f>INDEX(Unit_Rates!$C$7:$K$59,MATCH($C48,Unit_Rates!$C$7:$C$59,0),7)</f>
        <v>92.456849907918979</v>
      </c>
      <c r="H48" s="518">
        <v>1</v>
      </c>
      <c r="I48" s="252" t="s">
        <v>308</v>
      </c>
      <c r="J48" s="147"/>
      <c r="K48" s="285">
        <f>G48*H48</f>
        <v>92.456849907918979</v>
      </c>
      <c r="L48" s="213">
        <f t="shared" si="7"/>
        <v>0</v>
      </c>
      <c r="M48" s="291"/>
      <c r="N48" s="739"/>
      <c r="O48" s="741"/>
      <c r="P48" s="750"/>
      <c r="Q48" s="317"/>
      <c r="R48" s="310">
        <v>0</v>
      </c>
      <c r="S48" s="310">
        <v>0</v>
      </c>
      <c r="T48" s="310">
        <v>0</v>
      </c>
      <c r="U48" s="310">
        <v>0</v>
      </c>
      <c r="V48" s="310">
        <v>0</v>
      </c>
      <c r="W48" s="310">
        <v>0</v>
      </c>
      <c r="X48" s="310">
        <v>0</v>
      </c>
      <c r="Y48" s="14">
        <f t="shared" si="8"/>
        <v>0</v>
      </c>
    </row>
    <row r="49" spans="1:35" x14ac:dyDescent="0.25">
      <c r="B49" s="239"/>
      <c r="C49" s="224" t="s">
        <v>340</v>
      </c>
      <c r="D49" s="161" t="str">
        <f>Unit_Rates!G58</f>
        <v>SCADA/Network control</v>
      </c>
      <c r="E49" s="161" t="str">
        <f>Unit_Rates!H58</f>
        <v>Augmentation</v>
      </c>
      <c r="F49" s="161" t="str">
        <f t="shared" si="5"/>
        <v>SCADA/Network controlAugmentation</v>
      </c>
      <c r="G49" s="524">
        <v>30.838530973451299</v>
      </c>
      <c r="H49" s="518">
        <v>1</v>
      </c>
      <c r="I49" s="252" t="s">
        <v>308</v>
      </c>
      <c r="J49" s="147"/>
      <c r="K49" s="285">
        <f t="shared" si="6"/>
        <v>30.838530973451299</v>
      </c>
      <c r="L49" s="213">
        <f t="shared" si="7"/>
        <v>0</v>
      </c>
      <c r="M49" s="291"/>
      <c r="N49" s="739"/>
      <c r="O49" s="741"/>
      <c r="P49" s="750"/>
      <c r="Q49" s="317"/>
      <c r="R49" s="310">
        <v>0</v>
      </c>
      <c r="S49" s="310">
        <v>0</v>
      </c>
      <c r="T49" s="310">
        <v>0</v>
      </c>
      <c r="U49" s="310">
        <v>0</v>
      </c>
      <c r="V49" s="310">
        <v>0</v>
      </c>
      <c r="W49" s="310">
        <v>0</v>
      </c>
      <c r="X49" s="310">
        <v>0</v>
      </c>
      <c r="Y49" s="14">
        <f t="shared" si="8"/>
        <v>0</v>
      </c>
    </row>
    <row r="50" spans="1:35" x14ac:dyDescent="0.25">
      <c r="B50" s="239"/>
      <c r="C50" s="224" t="s">
        <v>338</v>
      </c>
      <c r="D50" s="161" t="s">
        <v>22</v>
      </c>
      <c r="E50" s="161" t="s">
        <v>42</v>
      </c>
      <c r="F50" s="161" t="str">
        <f t="shared" si="5"/>
        <v>SCADA/Network controlAugmentation</v>
      </c>
      <c r="G50" s="524">
        <v>167.07804778761059</v>
      </c>
      <c r="H50" s="537">
        <v>1</v>
      </c>
      <c r="I50" s="252" t="s">
        <v>308</v>
      </c>
      <c r="J50" s="147"/>
      <c r="K50" s="285">
        <f t="shared" si="6"/>
        <v>167.07804778761059</v>
      </c>
      <c r="L50" s="213">
        <f t="shared" si="7"/>
        <v>0</v>
      </c>
      <c r="M50" s="291"/>
      <c r="N50" s="739"/>
      <c r="O50" s="741"/>
      <c r="P50" s="750"/>
      <c r="Q50" s="277"/>
      <c r="R50" s="310">
        <v>0</v>
      </c>
      <c r="S50" s="310">
        <v>0</v>
      </c>
      <c r="T50" s="310">
        <v>0</v>
      </c>
      <c r="U50" s="310">
        <v>0</v>
      </c>
      <c r="V50" s="310">
        <v>0</v>
      </c>
      <c r="W50" s="310">
        <v>0</v>
      </c>
      <c r="X50" s="310">
        <v>0</v>
      </c>
      <c r="Y50" s="14">
        <f t="shared" si="8"/>
        <v>0</v>
      </c>
    </row>
    <row r="51" spans="1:35" x14ac:dyDescent="0.25">
      <c r="B51" s="239" t="s">
        <v>297</v>
      </c>
      <c r="C51" s="224"/>
      <c r="D51" s="161" t="s">
        <v>18</v>
      </c>
      <c r="E51" s="224" t="s">
        <v>42</v>
      </c>
      <c r="F51" s="161" t="str">
        <f t="shared" si="5"/>
        <v>SubtransmissionAugmentation</v>
      </c>
      <c r="G51" s="524">
        <v>55.479168141592908</v>
      </c>
      <c r="H51" s="518">
        <v>1</v>
      </c>
      <c r="I51" s="252" t="s">
        <v>308</v>
      </c>
      <c r="J51" s="147"/>
      <c r="K51" s="285">
        <f t="shared" si="6"/>
        <v>55.479168141592908</v>
      </c>
      <c r="L51" s="213">
        <f t="shared" si="7"/>
        <v>0</v>
      </c>
      <c r="M51" s="291"/>
      <c r="N51" s="739"/>
      <c r="O51" s="741"/>
      <c r="P51" s="750"/>
      <c r="Q51" s="277"/>
      <c r="R51" s="310">
        <v>0</v>
      </c>
      <c r="S51" s="310">
        <v>0</v>
      </c>
      <c r="T51" s="310">
        <v>0</v>
      </c>
      <c r="U51" s="310">
        <v>0</v>
      </c>
      <c r="V51" s="310">
        <v>0</v>
      </c>
      <c r="W51" s="310">
        <v>0</v>
      </c>
      <c r="X51" s="310">
        <v>0</v>
      </c>
      <c r="Y51" s="14">
        <f t="shared" si="8"/>
        <v>0</v>
      </c>
    </row>
    <row r="52" spans="1:35" x14ac:dyDescent="0.25">
      <c r="B52" s="239" t="s">
        <v>283</v>
      </c>
      <c r="C52" s="224"/>
      <c r="D52" s="161"/>
      <c r="E52" s="161"/>
      <c r="F52" s="264"/>
      <c r="G52" s="253"/>
      <c r="H52" s="598"/>
      <c r="I52" s="212"/>
      <c r="J52" s="161"/>
      <c r="K52" s="213"/>
      <c r="L52" s="213"/>
      <c r="M52" s="213"/>
      <c r="N52" s="530"/>
      <c r="O52" s="531"/>
      <c r="P52" s="211"/>
      <c r="Q52" s="277"/>
      <c r="R52" s="314"/>
      <c r="S52" s="314"/>
      <c r="T52" s="314"/>
      <c r="U52" s="314"/>
      <c r="V52" s="314"/>
      <c r="W52" s="314"/>
      <c r="X52" s="314"/>
      <c r="Y52" s="14"/>
    </row>
    <row r="53" spans="1:35" x14ac:dyDescent="0.25">
      <c r="B53" s="239"/>
      <c r="C53" s="224" t="s">
        <v>327</v>
      </c>
      <c r="D53" s="161" t="s">
        <v>18</v>
      </c>
      <c r="E53" s="161" t="s">
        <v>42</v>
      </c>
      <c r="F53" s="161" t="str">
        <f>D53&amp;E53</f>
        <v>SubtransmissionAugmentation</v>
      </c>
      <c r="G53" s="597">
        <v>0</v>
      </c>
      <c r="H53" s="518"/>
      <c r="I53" s="252" t="s">
        <v>308</v>
      </c>
      <c r="J53" s="161"/>
      <c r="K53" s="285">
        <f>G53*H53</f>
        <v>0</v>
      </c>
      <c r="L53" s="213">
        <f>SUMPRODUCT(R$5:X$5,R53:X53)/Thousands</f>
        <v>0</v>
      </c>
      <c r="M53" s="291"/>
      <c r="N53" s="739"/>
      <c r="O53" s="741"/>
      <c r="P53" s="750"/>
      <c r="Q53" s="277"/>
      <c r="R53" s="310">
        <v>0</v>
      </c>
      <c r="S53" s="310">
        <v>0</v>
      </c>
      <c r="T53" s="310">
        <v>0</v>
      </c>
      <c r="U53" s="310">
        <v>0</v>
      </c>
      <c r="V53" s="310">
        <v>0</v>
      </c>
      <c r="W53" s="310">
        <v>0</v>
      </c>
      <c r="X53" s="310">
        <v>0</v>
      </c>
      <c r="Y53" s="14">
        <f>SUM(R53:X53)</f>
        <v>0</v>
      </c>
    </row>
    <row r="54" spans="1:35" x14ac:dyDescent="0.25">
      <c r="B54" s="239"/>
      <c r="C54" s="224" t="s">
        <v>332</v>
      </c>
      <c r="D54" s="224" t="str">
        <f>Unit_Rates!G43</f>
        <v>Subtransmission</v>
      </c>
      <c r="E54" s="224" t="str">
        <f>Unit_Rates!H43</f>
        <v>Augmentation</v>
      </c>
      <c r="F54" s="161" t="str">
        <f>D54&amp;E54</f>
        <v>SubtransmissionAugmentation</v>
      </c>
      <c r="G54" s="271">
        <f>Unit_Rates!$I$43</f>
        <v>123.95348837209301</v>
      </c>
      <c r="H54" s="518"/>
      <c r="I54" s="252" t="s">
        <v>308</v>
      </c>
      <c r="J54" s="161"/>
      <c r="K54" s="285">
        <f>G54*H54</f>
        <v>0</v>
      </c>
      <c r="L54" s="213">
        <f>SUMPRODUCT(R$5:X$5,R54:X54)/Thousands</f>
        <v>0</v>
      </c>
      <c r="M54" s="291"/>
      <c r="N54" s="739"/>
      <c r="O54" s="739"/>
      <c r="P54" s="750"/>
      <c r="Q54" s="317"/>
      <c r="R54" s="310">
        <v>0</v>
      </c>
      <c r="S54" s="310">
        <v>0</v>
      </c>
      <c r="T54" s="310">
        <v>0</v>
      </c>
      <c r="U54" s="310">
        <v>0</v>
      </c>
      <c r="V54" s="310">
        <v>0</v>
      </c>
      <c r="W54" s="310">
        <v>0</v>
      </c>
      <c r="X54" s="310">
        <v>0</v>
      </c>
      <c r="Y54" s="14">
        <f>SUM(R54:X54)</f>
        <v>0</v>
      </c>
    </row>
    <row r="55" spans="1:35" x14ac:dyDescent="0.25">
      <c r="B55" s="239"/>
      <c r="C55" s="639" t="s">
        <v>333</v>
      </c>
      <c r="D55" s="347" t="s">
        <v>18</v>
      </c>
      <c r="E55" s="347" t="s">
        <v>42</v>
      </c>
      <c r="F55" s="161" t="str">
        <f>D55&amp;E55</f>
        <v>SubtransmissionAugmentation</v>
      </c>
      <c r="G55" s="524">
        <v>4.5347451327433621</v>
      </c>
      <c r="H55" s="518">
        <v>1</v>
      </c>
      <c r="I55" s="252" t="s">
        <v>308</v>
      </c>
      <c r="J55" s="161"/>
      <c r="K55" s="285">
        <f>G55*H55</f>
        <v>4.5347451327433621</v>
      </c>
      <c r="L55" s="213">
        <f>SUMPRODUCT(R$5:X$5,R55:X55)/Thousands</f>
        <v>0</v>
      </c>
      <c r="M55" s="291"/>
      <c r="N55" s="739"/>
      <c r="O55" s="741"/>
      <c r="P55" s="750"/>
      <c r="Q55" s="277"/>
      <c r="R55" s="310">
        <v>0</v>
      </c>
      <c r="S55" s="310">
        <v>0</v>
      </c>
      <c r="T55" s="310">
        <v>0</v>
      </c>
      <c r="U55" s="310">
        <v>0</v>
      </c>
      <c r="V55" s="310">
        <v>0</v>
      </c>
      <c r="W55" s="310">
        <v>0</v>
      </c>
      <c r="X55" s="310">
        <v>0</v>
      </c>
      <c r="Y55" s="14">
        <f>SUM(R55:X55)</f>
        <v>0</v>
      </c>
    </row>
    <row r="56" spans="1:35" x14ac:dyDescent="0.25">
      <c r="A56" s="46"/>
      <c r="B56" s="296" t="s">
        <v>300</v>
      </c>
      <c r="C56" s="224"/>
      <c r="D56" s="224" t="s">
        <v>18</v>
      </c>
      <c r="E56" s="224" t="s">
        <v>42</v>
      </c>
      <c r="F56" s="161" t="str">
        <f>D56&amp;E56</f>
        <v>SubtransmissionAugmentation</v>
      </c>
      <c r="G56" s="724">
        <v>0</v>
      </c>
      <c r="H56" s="518">
        <v>1</v>
      </c>
      <c r="I56" s="252" t="s">
        <v>308</v>
      </c>
      <c r="J56" s="224"/>
      <c r="K56" s="285">
        <f>G56*H56</f>
        <v>0</v>
      </c>
      <c r="L56" s="256">
        <f>SUMPRODUCT(R$5:X$5,R56:X56)/Thousands</f>
        <v>0</v>
      </c>
      <c r="M56" s="295"/>
      <c r="N56" s="739"/>
      <c r="O56" s="742"/>
      <c r="P56" s="750"/>
      <c r="Q56" s="277"/>
      <c r="R56" s="310">
        <v>0</v>
      </c>
      <c r="S56" s="310">
        <v>0</v>
      </c>
      <c r="T56" s="310">
        <v>0</v>
      </c>
      <c r="U56" s="310">
        <v>0</v>
      </c>
      <c r="V56" s="310">
        <v>0</v>
      </c>
      <c r="W56" s="310">
        <v>0</v>
      </c>
      <c r="X56" s="310">
        <v>0</v>
      </c>
      <c r="Y56" s="14">
        <f>SUM(R56:X56)</f>
        <v>0</v>
      </c>
    </row>
    <row r="57" spans="1:35" x14ac:dyDescent="0.25">
      <c r="B57" s="239" t="s">
        <v>284</v>
      </c>
      <c r="C57" s="161"/>
      <c r="D57" s="161" t="s">
        <v>211</v>
      </c>
      <c r="E57" s="161" t="s">
        <v>83</v>
      </c>
      <c r="F57" s="161" t="str">
        <f>D57&amp;E57</f>
        <v>LandNon-Network</v>
      </c>
      <c r="G57" s="215">
        <v>0</v>
      </c>
      <c r="H57" s="518"/>
      <c r="I57" s="252" t="s">
        <v>308</v>
      </c>
      <c r="J57" s="161"/>
      <c r="K57" s="216">
        <v>0</v>
      </c>
      <c r="L57" s="216">
        <f>SUMPRODUCT(R$5:X$5,R57:X57)/Thousands</f>
        <v>0</v>
      </c>
      <c r="M57" s="295"/>
      <c r="N57" s="752"/>
      <c r="O57" s="753"/>
      <c r="P57" s="750"/>
      <c r="Q57" s="317"/>
      <c r="R57" s="310">
        <v>0</v>
      </c>
      <c r="S57" s="310">
        <v>0</v>
      </c>
      <c r="T57" s="310">
        <v>0</v>
      </c>
      <c r="U57" s="310">
        <v>0</v>
      </c>
      <c r="V57" s="310">
        <v>0</v>
      </c>
      <c r="W57" s="310">
        <v>0</v>
      </c>
      <c r="X57" s="310">
        <v>0</v>
      </c>
      <c r="Y57" s="14">
        <f>SUM(R57:X57)</f>
        <v>0</v>
      </c>
    </row>
    <row r="58" spans="1:35" x14ac:dyDescent="0.25">
      <c r="B58" s="220"/>
      <c r="C58" s="161"/>
      <c r="D58" s="161"/>
      <c r="E58" s="161"/>
      <c r="F58" s="161"/>
      <c r="G58" s="212"/>
      <c r="H58" s="220"/>
      <c r="I58" s="212"/>
      <c r="J58" s="161"/>
      <c r="K58" s="217"/>
      <c r="L58" s="217"/>
      <c r="M58" s="217"/>
      <c r="N58" s="217"/>
      <c r="O58" s="217"/>
      <c r="P58" s="217"/>
      <c r="R58" s="630"/>
      <c r="S58" s="630"/>
      <c r="T58" s="630"/>
      <c r="U58" s="630"/>
      <c r="V58" s="630"/>
      <c r="W58" s="630"/>
      <c r="X58" s="630"/>
    </row>
    <row r="59" spans="1:35" x14ac:dyDescent="0.25">
      <c r="B59" s="239" t="s">
        <v>298</v>
      </c>
      <c r="C59" s="161"/>
      <c r="D59" s="161"/>
      <c r="E59" s="161"/>
      <c r="F59" s="161"/>
      <c r="G59" s="212"/>
      <c r="H59" s="220"/>
      <c r="I59" s="212"/>
      <c r="J59" s="161"/>
      <c r="K59" s="302">
        <f t="shared" ref="K59:M59" si="9">SUM(K6:K57)</f>
        <v>3067.5245230349246</v>
      </c>
      <c r="L59" s="302">
        <f t="shared" si="9"/>
        <v>1026.1515174187252</v>
      </c>
      <c r="M59" s="302">
        <f t="shared" si="9"/>
        <v>1132.0353982300883</v>
      </c>
      <c r="N59" s="302">
        <v>2672.8879815215705</v>
      </c>
      <c r="O59" s="302">
        <v>158.59833649831319</v>
      </c>
      <c r="P59" s="302">
        <v>8057.1977567036174</v>
      </c>
      <c r="Q59" s="168"/>
      <c r="R59" s="161"/>
      <c r="S59" s="161"/>
      <c r="T59" s="161"/>
      <c r="U59" s="161"/>
      <c r="V59" s="161"/>
      <c r="W59" s="161"/>
      <c r="X59" s="161"/>
    </row>
    <row r="60" spans="1:35" x14ac:dyDescent="0.25">
      <c r="B60" s="247" t="s">
        <v>72</v>
      </c>
      <c r="C60" s="248"/>
      <c r="D60" s="248"/>
      <c r="E60" s="248"/>
      <c r="F60" s="248"/>
      <c r="G60" s="255"/>
      <c r="H60" s="247"/>
      <c r="I60" s="255"/>
      <c r="J60" s="248"/>
      <c r="K60" s="257">
        <f>K59-Direct_Capex_Totals!Q8</f>
        <v>0</v>
      </c>
      <c r="L60" s="258">
        <f>L59-Direct_Capex_Totals!R8</f>
        <v>0</v>
      </c>
      <c r="M60" s="258">
        <f>M59-Direct_Capex_Totals!S8</f>
        <v>0</v>
      </c>
      <c r="N60" s="258">
        <f>N59-Direct_Capex_Totals!T8</f>
        <v>0</v>
      </c>
      <c r="O60" s="258">
        <f>O59-Direct_Capex_Totals!U8</f>
        <v>0</v>
      </c>
      <c r="P60" s="250">
        <f>SUM(K60:O60)</f>
        <v>0</v>
      </c>
      <c r="R60" s="161"/>
      <c r="S60" s="161"/>
      <c r="T60" s="161"/>
      <c r="U60" s="161"/>
      <c r="V60" s="161"/>
      <c r="W60" s="161"/>
      <c r="X60" s="161"/>
    </row>
    <row r="61" spans="1:35" ht="39.6" customHeight="1" x14ac:dyDescent="0.25">
      <c r="B61" s="225" t="s">
        <v>278</v>
      </c>
      <c r="C61" s="226"/>
      <c r="D61" s="279"/>
      <c r="E61" s="279"/>
      <c r="F61" s="279"/>
      <c r="G61" s="261" t="s">
        <v>318</v>
      </c>
      <c r="H61" s="260" t="s">
        <v>281</v>
      </c>
      <c r="I61" s="18" t="s">
        <v>309</v>
      </c>
      <c r="J61" s="248"/>
      <c r="K61" s="18" t="s">
        <v>151</v>
      </c>
      <c r="L61" s="18" t="s">
        <v>306</v>
      </c>
      <c r="M61" s="261" t="s">
        <v>152</v>
      </c>
      <c r="N61" s="261" t="s">
        <v>153</v>
      </c>
      <c r="O61" s="18" t="s">
        <v>77</v>
      </c>
      <c r="P61" s="18" t="s">
        <v>307</v>
      </c>
      <c r="R61" s="161"/>
      <c r="S61" s="161"/>
      <c r="T61" s="161"/>
      <c r="U61" s="161"/>
      <c r="V61" s="161"/>
      <c r="W61" s="161"/>
      <c r="X61" s="161"/>
    </row>
    <row r="62" spans="1:35" x14ac:dyDescent="0.25">
      <c r="B62" s="220"/>
      <c r="C62" s="161"/>
      <c r="D62" s="161"/>
      <c r="E62" s="161"/>
      <c r="F62" s="161"/>
      <c r="G62" s="212"/>
      <c r="H62" s="220"/>
      <c r="I62" s="212"/>
      <c r="J62" s="161"/>
      <c r="K62" s="223"/>
      <c r="L62" s="223"/>
      <c r="M62" s="223"/>
      <c r="N62" s="223"/>
      <c r="O62" s="223"/>
      <c r="P62" s="212"/>
      <c r="R62" s="161"/>
      <c r="S62" s="161"/>
      <c r="T62" s="161"/>
      <c r="U62" s="161"/>
      <c r="V62" s="161"/>
      <c r="W62" s="161"/>
      <c r="X62" s="161"/>
    </row>
    <row r="63" spans="1:35" x14ac:dyDescent="0.25">
      <c r="B63" s="239" t="s">
        <v>17</v>
      </c>
      <c r="C63" s="161"/>
      <c r="D63" s="161"/>
      <c r="E63" s="161"/>
      <c r="F63" s="161"/>
      <c r="G63" s="212"/>
      <c r="H63" s="220"/>
      <c r="I63" s="212"/>
      <c r="J63" s="161"/>
      <c r="K63" s="223"/>
      <c r="L63" s="223"/>
      <c r="M63" s="223"/>
      <c r="N63" s="223"/>
      <c r="O63" s="223"/>
      <c r="P63" s="212"/>
      <c r="R63" s="631"/>
      <c r="S63" s="631"/>
      <c r="T63" s="631"/>
      <c r="U63" s="631"/>
      <c r="V63" s="631"/>
      <c r="W63" s="631"/>
      <c r="X63" s="631"/>
      <c r="AI63" t="s">
        <v>472</v>
      </c>
    </row>
    <row r="64" spans="1:35" x14ac:dyDescent="0.25">
      <c r="B64" s="220"/>
      <c r="C64" s="270" t="s">
        <v>344</v>
      </c>
      <c r="D64" s="270" t="str">
        <f>IF($B$3="WYK2",Unit_Rates!G65,Unit_Rates!G66)</f>
        <v>Distribution system assets</v>
      </c>
      <c r="E64" s="270" t="str">
        <f>IF($B$3="WYK2",Unit_Rates!H65,Unit_Rates!H66)</f>
        <v>Augmentation</v>
      </c>
      <c r="F64" s="161" t="str">
        <f t="shared" ref="F64:F70" si="10">D64&amp;E64</f>
        <v>Distribution system assetsAugmentation</v>
      </c>
      <c r="G64" s="256">
        <v>0</v>
      </c>
      <c r="H64" s="430">
        <f>INDEX(Feeder_Vols!$E$7:$Q$13,MATCH($B$3,Feeder_Vols!$B$7:$B$12,0),MATCH(1,Feeder_Vols!$E$6:$Q$6,0))</f>
        <v>3</v>
      </c>
      <c r="I64" s="212" t="s">
        <v>313</v>
      </c>
      <c r="J64" s="161"/>
      <c r="K64" s="256"/>
      <c r="L64" s="256">
        <f>SUMPRODUCT(R$5:X$5,R64:X64)/Thousands</f>
        <v>24.628812346105544</v>
      </c>
      <c r="M64" s="271">
        <f>$H64*IF($B$3="WYK2",Unit_Rates!K65,Unit_Rates!K66)</f>
        <v>54.395748837209297</v>
      </c>
      <c r="N64" s="271">
        <f>$H64*IF($B$3="WYK2",Unit_Rates!L65,Unit_Rates!L66)</f>
        <v>0</v>
      </c>
      <c r="O64" s="271">
        <f>$H64*IF($B$3="WYK2",Unit_Rates!M65,Unit_Rates!M66)</f>
        <v>0</v>
      </c>
      <c r="P64" s="216">
        <f>SUM(K64:O64)</f>
        <v>79.024561183314844</v>
      </c>
      <c r="R64" s="628">
        <f>$AI64*Z64*$H64</f>
        <v>44.407894736842096</v>
      </c>
      <c r="S64" s="628">
        <f t="shared" ref="S64:X69" si="11">$AI64*AA64*$H64</f>
        <v>118.83802816901408</v>
      </c>
      <c r="T64" s="628">
        <f t="shared" si="11"/>
        <v>0</v>
      </c>
      <c r="U64" s="628">
        <f t="shared" si="11"/>
        <v>0</v>
      </c>
      <c r="V64" s="628">
        <f t="shared" si="11"/>
        <v>0</v>
      </c>
      <c r="W64" s="628">
        <f t="shared" si="11"/>
        <v>0</v>
      </c>
      <c r="X64" s="628">
        <f t="shared" si="11"/>
        <v>0</v>
      </c>
      <c r="Y64" s="14">
        <f t="shared" ref="Y64:Y90" si="12">SUM(R64:X64)</f>
        <v>163.24592290585616</v>
      </c>
      <c r="Z64" s="15">
        <v>0.27203065134099613</v>
      </c>
      <c r="AA64" s="15">
        <v>0.72796934865900376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6">
        <f t="shared" ref="AG64:AG69" si="13">SUM(Z64:AF64)</f>
        <v>0.99999999999999989</v>
      </c>
      <c r="AH64" t="b">
        <f t="shared" ref="AH64:AH69" si="14">AG64=1</f>
        <v>1</v>
      </c>
      <c r="AI64" s="365">
        <v>54.415307635285394</v>
      </c>
    </row>
    <row r="65" spans="2:35" x14ac:dyDescent="0.25">
      <c r="B65" s="220"/>
      <c r="C65" s="161" t="s">
        <v>247</v>
      </c>
      <c r="D65" s="161" t="str">
        <f>Unit_Rates!G67</f>
        <v>Distribution system assets</v>
      </c>
      <c r="E65" s="161" t="str">
        <f>Unit_Rates!H67</f>
        <v>Augmentation</v>
      </c>
      <c r="F65" s="161" t="str">
        <f t="shared" si="10"/>
        <v>Distribution system assetsAugmentation</v>
      </c>
      <c r="G65" s="742"/>
      <c r="H65" s="430">
        <f>INDEX(Feeder_Vols!$E$7:$Q$13,MATCH($B$3,Feeder_Vols!$B$7:$B$12,0),MATCH(2,Feeder_Vols!$E$6:$Q$6,0))</f>
        <v>0</v>
      </c>
      <c r="I65" s="212" t="s">
        <v>314</v>
      </c>
      <c r="J65" s="161"/>
      <c r="K65" s="747"/>
      <c r="L65" s="747"/>
      <c r="M65" s="747"/>
      <c r="N65" s="747"/>
      <c r="O65" s="747"/>
      <c r="P65" s="747"/>
      <c r="Q65" s="14"/>
      <c r="R65" s="748"/>
      <c r="S65" s="748"/>
      <c r="T65" s="748"/>
      <c r="U65" s="748"/>
      <c r="V65" s="748"/>
      <c r="W65" s="748"/>
      <c r="X65" s="748"/>
      <c r="Y65" s="744"/>
      <c r="Z65" s="15">
        <v>0</v>
      </c>
      <c r="AA65" s="15">
        <v>0.14071351127025331</v>
      </c>
      <c r="AB65" s="15">
        <v>0.24322448098123187</v>
      </c>
      <c r="AC65" s="15">
        <v>0</v>
      </c>
      <c r="AD65" s="15">
        <v>0.1760177164995757</v>
      </c>
      <c r="AE65" s="15">
        <v>0.44004429124893918</v>
      </c>
      <c r="AF65" s="15">
        <v>0</v>
      </c>
      <c r="AG65" s="16">
        <f t="shared" si="13"/>
        <v>1</v>
      </c>
      <c r="AH65" t="b">
        <f t="shared" si="14"/>
        <v>1</v>
      </c>
      <c r="AI65" s="792"/>
    </row>
    <row r="66" spans="2:35" x14ac:dyDescent="0.25">
      <c r="B66" s="220"/>
      <c r="C66" s="161" t="s">
        <v>251</v>
      </c>
      <c r="D66" s="161" t="str">
        <f>Unit_Rates!G68</f>
        <v>Distribution system assets</v>
      </c>
      <c r="E66" s="161" t="str">
        <f>Unit_Rates!H68</f>
        <v>Augmentation</v>
      </c>
      <c r="F66" s="161" t="str">
        <f t="shared" si="10"/>
        <v>Distribution system assetsAugmentation</v>
      </c>
      <c r="G66" s="742"/>
      <c r="H66" s="430">
        <f>INDEX(Feeder_Vols!$E$7:$Q$13,MATCH($B$3,Feeder_Vols!$B$7:$B$12,0),MATCH(3,Feeder_Vols!$E$6:$Q$6,0))</f>
        <v>1</v>
      </c>
      <c r="I66" s="212" t="s">
        <v>310</v>
      </c>
      <c r="J66" s="161"/>
      <c r="K66" s="747"/>
      <c r="L66" s="747"/>
      <c r="M66" s="747"/>
      <c r="N66" s="747"/>
      <c r="O66" s="747"/>
      <c r="P66" s="747"/>
      <c r="Q66" s="14"/>
      <c r="R66" s="748"/>
      <c r="S66" s="748"/>
      <c r="T66" s="748"/>
      <c r="U66" s="748"/>
      <c r="V66" s="748"/>
      <c r="W66" s="748"/>
      <c r="X66" s="748"/>
      <c r="Y66" s="744"/>
      <c r="Z66" s="15">
        <v>0</v>
      </c>
      <c r="AA66" s="15">
        <v>0.11317869701862385</v>
      </c>
      <c r="AB66" s="15">
        <v>0.25101832039696309</v>
      </c>
      <c r="AC66" s="15">
        <v>0</v>
      </c>
      <c r="AD66" s="15">
        <v>0.18165799502411806</v>
      </c>
      <c r="AE66" s="15">
        <v>0.45414498756029509</v>
      </c>
      <c r="AF66" s="15">
        <v>0</v>
      </c>
      <c r="AG66" s="16">
        <f t="shared" si="13"/>
        <v>1</v>
      </c>
      <c r="AH66" t="b">
        <f t="shared" si="14"/>
        <v>1</v>
      </c>
      <c r="AI66" s="792"/>
    </row>
    <row r="67" spans="2:35" x14ac:dyDescent="0.25">
      <c r="B67" s="220"/>
      <c r="C67" s="161" t="s">
        <v>253</v>
      </c>
      <c r="D67" s="161" t="str">
        <f>Unit_Rates!G69</f>
        <v>Distribution system assets</v>
      </c>
      <c r="E67" s="161" t="str">
        <f>Unit_Rates!H69</f>
        <v>Augmentation</v>
      </c>
      <c r="F67" s="161" t="str">
        <f t="shared" si="10"/>
        <v>Distribution system assetsAugmentation</v>
      </c>
      <c r="G67" s="742"/>
      <c r="H67" s="430">
        <f>INDEX(Feeder_Vols!$E$7:$Q$13,MATCH($B$3,Feeder_Vols!$B$7:$B$12,0),MATCH(4,Feeder_Vols!$E$6:$Q$6,0))</f>
        <v>33</v>
      </c>
      <c r="I67" s="253" t="s">
        <v>315</v>
      </c>
      <c r="J67" s="161"/>
      <c r="K67" s="747"/>
      <c r="L67" s="747"/>
      <c r="M67" s="747"/>
      <c r="N67" s="747"/>
      <c r="O67" s="747"/>
      <c r="P67" s="747"/>
      <c r="Q67" s="571"/>
      <c r="R67" s="748"/>
      <c r="S67" s="748"/>
      <c r="T67" s="748"/>
      <c r="U67" s="748"/>
      <c r="V67" s="748"/>
      <c r="W67" s="748"/>
      <c r="X67" s="748"/>
      <c r="Y67" s="744"/>
      <c r="Z67" s="15">
        <v>0</v>
      </c>
      <c r="AA67" s="15">
        <v>0.17737095137749856</v>
      </c>
      <c r="AB67" s="15">
        <v>0.23284844579258887</v>
      </c>
      <c r="AC67" s="15">
        <v>0</v>
      </c>
      <c r="AD67" s="15">
        <v>0.16850874366568935</v>
      </c>
      <c r="AE67" s="15">
        <v>0.42127185916422333</v>
      </c>
      <c r="AF67" s="15">
        <v>0</v>
      </c>
      <c r="AG67" s="16">
        <f t="shared" si="13"/>
        <v>1</v>
      </c>
      <c r="AH67" t="b">
        <f t="shared" si="14"/>
        <v>1</v>
      </c>
      <c r="AI67" s="792"/>
    </row>
    <row r="68" spans="2:35" x14ac:dyDescent="0.25">
      <c r="B68" s="220"/>
      <c r="C68" s="161" t="s">
        <v>249</v>
      </c>
      <c r="D68" s="161" t="str">
        <f>Unit_Rates!G70</f>
        <v>Distribution system assets</v>
      </c>
      <c r="E68" s="161" t="str">
        <f>Unit_Rates!H70</f>
        <v>Augmentation</v>
      </c>
      <c r="F68" s="161" t="str">
        <f t="shared" si="10"/>
        <v>Distribution system assetsAugmentation</v>
      </c>
      <c r="G68" s="271">
        <f>Unit_Rates!I70</f>
        <v>17.106573023255812</v>
      </c>
      <c r="H68" s="430">
        <f>INDEX(Feeder_Vols!$E$7:$Q$13,MATCH($B$3,Feeder_Vols!$B$7:$B$12,0),MATCH(5,Feeder_Vols!$E$6:$Q$6,0))</f>
        <v>18</v>
      </c>
      <c r="I68" s="253" t="s">
        <v>316</v>
      </c>
      <c r="J68" s="161"/>
      <c r="K68" s="256">
        <f t="shared" ref="K68:K73" si="15">G68*H68</f>
        <v>307.91831441860461</v>
      </c>
      <c r="L68" s="256">
        <f t="shared" ref="L68:L73" si="16">SUMPRODUCT(R$5:X$5,R68:X68)/Thousands</f>
        <v>58.707361216417439</v>
      </c>
      <c r="M68" s="256">
        <f>$H68*Unit_Rates!K70</f>
        <v>0</v>
      </c>
      <c r="N68" s="256">
        <f>$H68*Unit_Rates!L70</f>
        <v>543.66897633847191</v>
      </c>
      <c r="O68" s="256">
        <f>$H68*Unit_Rates!M70</f>
        <v>68.941813560147722</v>
      </c>
      <c r="P68" s="216">
        <f t="shared" ref="P68:P73" si="17">SUM(K68:O68)</f>
        <v>979.23646553364165</v>
      </c>
      <c r="Q68" s="14">
        <f>P68-H68*Unit_Rates!$E$70</f>
        <v>1.4148812983916059</v>
      </c>
      <c r="R68" s="628">
        <f>$AI68*Z68*$H68</f>
        <v>0</v>
      </c>
      <c r="S68" s="628">
        <f t="shared" si="11"/>
        <v>25.199999999999996</v>
      </c>
      <c r="T68" s="628">
        <f t="shared" si="11"/>
        <v>95.883977335626341</v>
      </c>
      <c r="U68" s="628">
        <f t="shared" si="11"/>
        <v>0</v>
      </c>
      <c r="V68" s="628">
        <f t="shared" si="11"/>
        <v>69.389720440255914</v>
      </c>
      <c r="W68" s="628">
        <f t="shared" si="11"/>
        <v>173.47430110063974</v>
      </c>
      <c r="X68" s="628">
        <f t="shared" si="11"/>
        <v>0</v>
      </c>
      <c r="Y68" s="14">
        <f t="shared" si="12"/>
        <v>363.94799887652198</v>
      </c>
      <c r="Z68" s="15">
        <v>0</v>
      </c>
      <c r="AA68" s="15">
        <v>6.9240660967474346E-2</v>
      </c>
      <c r="AB68" s="15">
        <v>0.26345515741702774</v>
      </c>
      <c r="AC68" s="15">
        <v>0</v>
      </c>
      <c r="AD68" s="15">
        <v>0.19065833760442799</v>
      </c>
      <c r="AE68" s="15">
        <v>0.47664584401106991</v>
      </c>
      <c r="AF68" s="15">
        <v>0</v>
      </c>
      <c r="AG68" s="16">
        <f t="shared" si="13"/>
        <v>1</v>
      </c>
      <c r="AH68" t="b">
        <f t="shared" si="14"/>
        <v>1</v>
      </c>
      <c r="AI68" s="5">
        <v>20.21933327091789</v>
      </c>
    </row>
    <row r="69" spans="2:35" x14ac:dyDescent="0.25">
      <c r="B69" s="220"/>
      <c r="C69" s="270" t="s">
        <v>356</v>
      </c>
      <c r="D69" s="161" t="str">
        <f>Unit_Rates!G71</f>
        <v>Distribution system assets</v>
      </c>
      <c r="E69" s="161" t="str">
        <f>Unit_Rates!H71</f>
        <v>Augmentation</v>
      </c>
      <c r="F69" s="161" t="str">
        <f t="shared" si="10"/>
        <v>Distribution system assetsAugmentation</v>
      </c>
      <c r="G69" s="256">
        <f>Unit_Rates!I71</f>
        <v>0</v>
      </c>
      <c r="H69" s="430">
        <f>INDEX(Feeder_Vols!$E$7:$Q$13,MATCH($B$3,Feeder_Vols!$B$7:$B$12,0),MATCH(1,Feeder_Vols!$E$6:$Q$6,0))</f>
        <v>3</v>
      </c>
      <c r="I69" s="212" t="s">
        <v>313</v>
      </c>
      <c r="J69" s="161"/>
      <c r="K69" s="256">
        <f t="shared" si="15"/>
        <v>0</v>
      </c>
      <c r="L69" s="271">
        <f t="shared" si="16"/>
        <v>18.13858695652176</v>
      </c>
      <c r="M69" s="271">
        <f>$H69*Unit_Rates!K71</f>
        <v>0</v>
      </c>
      <c r="N69" s="271">
        <f>$H69*Unit_Rates!L71</f>
        <v>23.346370070778555</v>
      </c>
      <c r="O69" s="271">
        <f>$H69*Unit_Rates!M71</f>
        <v>0</v>
      </c>
      <c r="P69" s="216">
        <f t="shared" si="17"/>
        <v>41.484957027300311</v>
      </c>
      <c r="Q69" s="14">
        <f>P69-H69*Unit_Rates!$E71</f>
        <v>-5.0240141557111428E-2</v>
      </c>
      <c r="R69" s="628">
        <f>$AI69*Z69*$H69</f>
        <v>0</v>
      </c>
      <c r="S69" s="628">
        <f t="shared" si="11"/>
        <v>0</v>
      </c>
      <c r="T69" s="628">
        <f t="shared" si="11"/>
        <v>0</v>
      </c>
      <c r="U69" s="628">
        <f t="shared" si="11"/>
        <v>0</v>
      </c>
      <c r="V69" s="628">
        <f t="shared" si="11"/>
        <v>0</v>
      </c>
      <c r="W69" s="628">
        <f t="shared" si="11"/>
        <v>0</v>
      </c>
      <c r="X69" s="628">
        <f t="shared" si="11"/>
        <v>139.19440720919289</v>
      </c>
      <c r="Y69" s="14">
        <f t="shared" si="12"/>
        <v>139.19440720919289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6">
        <f t="shared" si="13"/>
        <v>1</v>
      </c>
      <c r="AH69" t="b">
        <f t="shared" si="14"/>
        <v>1</v>
      </c>
      <c r="AI69" s="5">
        <v>46.398135736397627</v>
      </c>
    </row>
    <row r="70" spans="2:35" x14ac:dyDescent="0.25">
      <c r="B70" s="220"/>
      <c r="C70" s="326" t="s">
        <v>354</v>
      </c>
      <c r="D70" s="161" t="str">
        <f>Unit_Rates!G72</f>
        <v>Distribution system assets</v>
      </c>
      <c r="E70" s="161" t="str">
        <f>Unit_Rates!H72</f>
        <v>Replacement</v>
      </c>
      <c r="F70" s="161" t="str">
        <f t="shared" si="10"/>
        <v>Distribution system assetsReplacement</v>
      </c>
      <c r="G70" s="256">
        <f>Unit_Rates!I72</f>
        <v>0</v>
      </c>
      <c r="H70" s="430">
        <f>INDEX(Feeder_Vols!$E$7:$Q$13,MATCH($B$3,Feeder_Vols!$B$7:$B$12,0),MATCH(1,Feeder_Vols!$E$6:$N$6,0))+INDEX(Feeder_Vols!$E$7:$N$13,MATCH($B$3,Feeder_Vols!$B$7:$B$12,0),MATCH(6,Feeder_Vols!$E$6:$Q$6,0))</f>
        <v>15</v>
      </c>
      <c r="I70" s="212" t="s">
        <v>358</v>
      </c>
      <c r="J70" s="161"/>
      <c r="K70" s="256">
        <f t="shared" si="15"/>
        <v>0</v>
      </c>
      <c r="L70" s="271">
        <f t="shared" si="16"/>
        <v>0</v>
      </c>
      <c r="M70" s="271">
        <f>$H70*Unit_Rates!K72</f>
        <v>0</v>
      </c>
      <c r="N70" s="271">
        <f>$H70*Unit_Rates!L72</f>
        <v>7.8090697674418594</v>
      </c>
      <c r="O70" s="271">
        <f>$H70*Unit_Rates!M72</f>
        <v>0</v>
      </c>
      <c r="P70" s="216">
        <f t="shared" si="17"/>
        <v>7.8090697674418594</v>
      </c>
      <c r="Q70" s="14">
        <f>P70-H70*Unit_Rates!$E72</f>
        <v>0</v>
      </c>
      <c r="R70" s="313"/>
      <c r="S70" s="313"/>
      <c r="T70" s="313"/>
      <c r="U70" s="313"/>
      <c r="V70" s="313"/>
      <c r="W70" s="313"/>
      <c r="X70" s="313"/>
      <c r="Y70" s="14">
        <f t="shared" si="12"/>
        <v>0</v>
      </c>
      <c r="Z70" s="15"/>
      <c r="AA70" s="15"/>
      <c r="AB70" s="15"/>
      <c r="AC70" s="15"/>
      <c r="AD70" s="15"/>
      <c r="AE70" s="15"/>
      <c r="AF70" s="15"/>
      <c r="AI70" s="5">
        <v>0</v>
      </c>
    </row>
    <row r="71" spans="2:35" x14ac:dyDescent="0.25">
      <c r="B71" s="220"/>
      <c r="C71" s="326" t="s">
        <v>689</v>
      </c>
      <c r="D71" s="161" t="str">
        <f>Unit_Rates!G73</f>
        <v>Distribution system assets</v>
      </c>
      <c r="E71" s="161" t="str">
        <f>Unit_Rates!H73</f>
        <v>Replacement</v>
      </c>
      <c r="F71" s="161" t="str">
        <f>D71&amp;E71</f>
        <v>Distribution system assetsReplacement</v>
      </c>
      <c r="G71" s="256">
        <f>Unit_Rates!I73</f>
        <v>0</v>
      </c>
      <c r="H71" s="430">
        <f>INDEX(Feeder_Vols!$E$7:$Q$13,MATCH($B$3,Feeder_Vols!$B$7:$B$12,0),MATCH(7,Feeder_Vols!$E$6:$Q$6,0))</f>
        <v>13</v>
      </c>
      <c r="I71" s="212" t="s">
        <v>355</v>
      </c>
      <c r="J71" s="161"/>
      <c r="K71" s="256">
        <f t="shared" si="15"/>
        <v>0</v>
      </c>
      <c r="L71" s="271">
        <f t="shared" si="16"/>
        <v>2.0445374233676379</v>
      </c>
      <c r="M71" s="271">
        <f>$H71*Unit_Rates!K73</f>
        <v>0</v>
      </c>
      <c r="N71" s="271">
        <f>$H71*Unit_Rates!L73</f>
        <v>37.968728502325568</v>
      </c>
      <c r="O71" s="271">
        <f>$H71*Unit_Rates!M73</f>
        <v>0</v>
      </c>
      <c r="P71" s="216">
        <f t="shared" si="17"/>
        <v>40.013265925693204</v>
      </c>
      <c r="Q71" s="14">
        <f>P71-H71*Unit_Rates!$E73</f>
        <v>9.9749933391692025E-2</v>
      </c>
      <c r="R71" s="628">
        <f t="shared" ref="R71:X72" si="18">$AI71*Z71*$H71</f>
        <v>0</v>
      </c>
      <c r="S71" s="628">
        <f t="shared" si="18"/>
        <v>0</v>
      </c>
      <c r="T71" s="628">
        <f t="shared" si="18"/>
        <v>0</v>
      </c>
      <c r="U71" s="628">
        <f t="shared" si="18"/>
        <v>0</v>
      </c>
      <c r="V71" s="628">
        <f t="shared" si="18"/>
        <v>0</v>
      </c>
      <c r="W71" s="628">
        <f t="shared" si="18"/>
        <v>0</v>
      </c>
      <c r="X71" s="628">
        <f t="shared" si="18"/>
        <v>15.689655172413794</v>
      </c>
      <c r="Y71" s="14">
        <f>SUM(R71:X71)</f>
        <v>15.689655172413794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1</v>
      </c>
      <c r="AG71" s="16">
        <f>SUM(Z71:AF71)</f>
        <v>1</v>
      </c>
      <c r="AH71" t="b">
        <f>AG71=1</f>
        <v>1</v>
      </c>
      <c r="AI71" s="5">
        <v>1.2068965517241379</v>
      </c>
    </row>
    <row r="72" spans="2:35" x14ac:dyDescent="0.25">
      <c r="B72" s="220"/>
      <c r="C72" s="326" t="s">
        <v>699</v>
      </c>
      <c r="D72" s="161" t="str">
        <f>Unit_Rates!G74</f>
        <v>Distribution system assets</v>
      </c>
      <c r="E72" s="161" t="str">
        <f>Unit_Rates!H74</f>
        <v>Augmentation</v>
      </c>
      <c r="F72" s="161" t="str">
        <f>D72&amp;E72</f>
        <v>Distribution system assetsAugmentation</v>
      </c>
      <c r="G72" s="256">
        <f>Unit_Rates!I74</f>
        <v>11.725162831858405</v>
      </c>
      <c r="H72" s="430">
        <f>INDEX(Feeder_Vols!$E$7:$Q$13,MATCH($B$3,Feeder_Vols!$B$7:$B$12,0),MATCH(8,Feeder_Vols!$E$6:$Q$6,0))</f>
        <v>12</v>
      </c>
      <c r="I72" s="212" t="s">
        <v>698</v>
      </c>
      <c r="J72" s="161"/>
      <c r="K72" s="256">
        <f t="shared" si="15"/>
        <v>140.70195398230086</v>
      </c>
      <c r="L72" s="271">
        <f t="shared" si="16"/>
        <v>35.999999999999993</v>
      </c>
      <c r="M72" s="271">
        <f>$H72*Unit_Rates!K74</f>
        <v>18</v>
      </c>
      <c r="N72" s="271">
        <f>$H72*Unit_Rates!L74</f>
        <v>240</v>
      </c>
      <c r="O72" s="271">
        <f>$H72*Unit_Rates!M74</f>
        <v>0</v>
      </c>
      <c r="P72" s="216">
        <f t="shared" si="17"/>
        <v>434.70195398230089</v>
      </c>
      <c r="Q72" s="14">
        <f>P72-H72*Unit_Rates!$E74</f>
        <v>0</v>
      </c>
      <c r="R72" s="628">
        <f t="shared" si="18"/>
        <v>0</v>
      </c>
      <c r="S72" s="628">
        <f t="shared" si="18"/>
        <v>0</v>
      </c>
      <c r="T72" s="628">
        <f t="shared" si="18"/>
        <v>0</v>
      </c>
      <c r="U72" s="628">
        <f t="shared" si="18"/>
        <v>0</v>
      </c>
      <c r="V72" s="628">
        <f t="shared" si="18"/>
        <v>0</v>
      </c>
      <c r="W72" s="628">
        <f t="shared" si="18"/>
        <v>0</v>
      </c>
      <c r="X72" s="628">
        <f t="shared" si="18"/>
        <v>276.2617987576607</v>
      </c>
      <c r="Y72" s="14">
        <f>SUM(R72:X72)</f>
        <v>276.2617987576607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1</v>
      </c>
      <c r="AG72" s="16">
        <f>SUM(Z72:AF72)</f>
        <v>1</v>
      </c>
      <c r="AH72" t="b">
        <f>AG72=1</f>
        <v>1</v>
      </c>
      <c r="AI72" s="5">
        <v>23.021816563138394</v>
      </c>
    </row>
    <row r="73" spans="2:35" x14ac:dyDescent="0.25">
      <c r="B73" s="220"/>
      <c r="C73" s="326" t="s">
        <v>692</v>
      </c>
      <c r="D73" s="161" t="str">
        <f>Unit_Rates!G75</f>
        <v>Distribution system assets</v>
      </c>
      <c r="E73" s="161" t="str">
        <f>Unit_Rates!H75</f>
        <v>Augmentation</v>
      </c>
      <c r="F73" s="161" t="str">
        <f>D73&amp;E73</f>
        <v>Distribution system assetsAugmentation</v>
      </c>
      <c r="G73" s="256">
        <f>Unit_Rates!I75</f>
        <v>21.323700104130506</v>
      </c>
      <c r="H73" s="430">
        <f>INDEX(Feeder_Vols!$E$7:$Q$13,MATCH($B$3,Feeder_Vols!$B$7:$B$12,0),MATCH(9,Feeder_Vols!$E$6:$Q$6,0))</f>
        <v>1</v>
      </c>
      <c r="I73" s="212" t="s">
        <v>691</v>
      </c>
      <c r="J73" s="161"/>
      <c r="K73" s="328">
        <f t="shared" si="15"/>
        <v>21.323700104130506</v>
      </c>
      <c r="L73" s="321">
        <f t="shared" si="16"/>
        <v>6.8797885572139581</v>
      </c>
      <c r="M73" s="321">
        <f>$H73*Unit_Rates!K75</f>
        <v>4.3901735508503981</v>
      </c>
      <c r="N73" s="321">
        <f>$H73*Unit_Rates!L75</f>
        <v>23.832370704616444</v>
      </c>
      <c r="O73" s="321">
        <f>$H73*Unit_Rates!M75</f>
        <v>6.2716765012148539</v>
      </c>
      <c r="P73" s="217">
        <f t="shared" si="17"/>
        <v>62.697709418026164</v>
      </c>
      <c r="Q73" s="14">
        <f>P73-H73*Unit_Rates!$E75</f>
        <v>-1.9055594122377784E-2</v>
      </c>
      <c r="R73" s="628">
        <f t="shared" ref="R73:X73" si="19">$AI73*Z73*$H73</f>
        <v>13.025101164256439</v>
      </c>
      <c r="S73" s="628">
        <f t="shared" si="19"/>
        <v>13.942361809626611</v>
      </c>
      <c r="T73" s="628">
        <f t="shared" si="19"/>
        <v>15.998508096702862</v>
      </c>
      <c r="U73" s="628">
        <f t="shared" si="19"/>
        <v>0</v>
      </c>
      <c r="V73" s="628">
        <f t="shared" si="19"/>
        <v>0</v>
      </c>
      <c r="W73" s="628">
        <f t="shared" si="19"/>
        <v>0</v>
      </c>
      <c r="X73" s="628">
        <f t="shared" si="19"/>
        <v>0</v>
      </c>
      <c r="Y73" s="14">
        <f t="shared" si="12"/>
        <v>42.965971070585915</v>
      </c>
      <c r="Z73" s="15">
        <v>0.30314923274650013</v>
      </c>
      <c r="AA73" s="15">
        <v>0.32449777026385929</v>
      </c>
      <c r="AB73" s="15">
        <v>0.37235299698964064</v>
      </c>
      <c r="AC73" s="15">
        <v>0</v>
      </c>
      <c r="AD73" s="15">
        <v>0</v>
      </c>
      <c r="AE73" s="15">
        <v>0</v>
      </c>
      <c r="AF73" s="15">
        <v>0</v>
      </c>
      <c r="AG73" s="16">
        <f>SUM(Z73:AF73)</f>
        <v>1</v>
      </c>
      <c r="AH73" t="b">
        <f>AG73=1</f>
        <v>1</v>
      </c>
      <c r="AI73" s="5">
        <v>42.965971070585908</v>
      </c>
    </row>
    <row r="74" spans="2:35" x14ac:dyDescent="0.25">
      <c r="B74" s="220"/>
      <c r="C74" s="224" t="s">
        <v>317</v>
      </c>
      <c r="D74" s="224"/>
      <c r="E74" s="224"/>
      <c r="F74" s="224"/>
      <c r="G74" s="256"/>
      <c r="H74" s="219"/>
      <c r="I74" s="212"/>
      <c r="J74" s="161"/>
      <c r="K74" s="256">
        <v>469.94396850503603</v>
      </c>
      <c r="L74" s="256">
        <v>159.00388129604397</v>
      </c>
      <c r="M74" s="256">
        <v>93.940052825517029</v>
      </c>
      <c r="N74" s="256">
        <v>1018.9090930578546</v>
      </c>
      <c r="O74" s="256">
        <v>75.213490061362577</v>
      </c>
      <c r="P74" s="256">
        <v>1817.0104857458143</v>
      </c>
      <c r="Q74" s="11"/>
      <c r="R74" s="309"/>
      <c r="S74" s="309"/>
      <c r="T74" s="309"/>
      <c r="U74" s="309"/>
      <c r="V74" s="309"/>
      <c r="W74" s="309"/>
      <c r="X74" s="309"/>
      <c r="Y74" s="14"/>
      <c r="AI74" s="5"/>
    </row>
    <row r="75" spans="2:35" x14ac:dyDescent="0.25">
      <c r="B75" s="239" t="s">
        <v>311</v>
      </c>
      <c r="C75" s="161"/>
      <c r="D75" s="161"/>
      <c r="E75" s="161"/>
      <c r="F75" s="161"/>
      <c r="G75" s="216"/>
      <c r="H75" s="219"/>
      <c r="I75" s="212"/>
      <c r="J75" s="161"/>
      <c r="K75" s="256"/>
      <c r="L75" s="256"/>
      <c r="M75" s="256"/>
      <c r="N75" s="256"/>
      <c r="O75" s="256"/>
      <c r="P75" s="216"/>
      <c r="R75" s="309"/>
      <c r="S75" s="309"/>
      <c r="T75" s="309"/>
      <c r="U75" s="309"/>
      <c r="V75" s="309"/>
      <c r="W75" s="309"/>
      <c r="X75" s="309"/>
      <c r="Y75" s="14"/>
      <c r="AI75" s="5"/>
    </row>
    <row r="76" spans="2:35" x14ac:dyDescent="0.25">
      <c r="B76" s="220"/>
      <c r="C76" s="161" t="s">
        <v>280</v>
      </c>
      <c r="D76" s="161" t="str">
        <f>Unit_Rates!G83</f>
        <v>Distribution system assets</v>
      </c>
      <c r="E76" s="161" t="str">
        <f>Unit_Rates!H83</f>
        <v>Replacement</v>
      </c>
      <c r="F76" s="161" t="str">
        <f>D76&amp;E76</f>
        <v>Distribution system assetsReplacement</v>
      </c>
      <c r="G76" s="216">
        <f>Unit_Rates!I83</f>
        <v>0.30495261811294533</v>
      </c>
      <c r="H76" s="431">
        <f>INDEX(Feeder_Vols!$B$18:$D$23,MATCH($B$3,Feeder_Vols!$B$18:$B$23,0),3)</f>
        <v>977</v>
      </c>
      <c r="I76" s="254" t="s">
        <v>308</v>
      </c>
      <c r="J76" s="161"/>
      <c r="K76" s="256">
        <f>G76*H76</f>
        <v>297.93870789634758</v>
      </c>
      <c r="L76" s="256">
        <f>SUMPRODUCT(R$5:X$5,R76:X76)/Thousands</f>
        <v>152.39408410209418</v>
      </c>
      <c r="M76" s="256">
        <f>$H76*Unit_Rates!K83</f>
        <v>0</v>
      </c>
      <c r="N76" s="256">
        <f>$H76*Unit_Rates!L83</f>
        <v>570.81499508835361</v>
      </c>
      <c r="O76" s="256">
        <f>$H76*Unit_Rates!M83</f>
        <v>0</v>
      </c>
      <c r="P76" s="216">
        <f>SUM(K76:O76)</f>
        <v>1021.1477870867953</v>
      </c>
      <c r="Q76" s="277">
        <f>P76-H76*Unit_Rates!$E$83</f>
        <v>3.2340423074382443</v>
      </c>
      <c r="R76" s="628">
        <f t="shared" ref="R76:X76" si="20">$AI76*Z76*$H76</f>
        <v>27.146951352664072</v>
      </c>
      <c r="S76" s="628">
        <f t="shared" si="20"/>
        <v>0</v>
      </c>
      <c r="T76" s="628">
        <f t="shared" si="20"/>
        <v>338.87231773892705</v>
      </c>
      <c r="U76" s="628">
        <f t="shared" si="20"/>
        <v>0</v>
      </c>
      <c r="V76" s="628">
        <f t="shared" si="20"/>
        <v>0</v>
      </c>
      <c r="W76" s="628">
        <f t="shared" si="20"/>
        <v>0</v>
      </c>
      <c r="X76" s="628">
        <f t="shared" si="20"/>
        <v>689.14073090840907</v>
      </c>
      <c r="Y76" s="14">
        <f t="shared" si="12"/>
        <v>1055.1600000000003</v>
      </c>
      <c r="Z76" s="15">
        <v>2.5727805595989302E-2</v>
      </c>
      <c r="AA76" s="15">
        <v>0</v>
      </c>
      <c r="AB76" s="15">
        <v>0.32115728206047139</v>
      </c>
      <c r="AC76" s="15">
        <v>0</v>
      </c>
      <c r="AD76" s="15">
        <v>0</v>
      </c>
      <c r="AE76" s="15">
        <v>0</v>
      </c>
      <c r="AF76" s="15">
        <v>0.65311491234353936</v>
      </c>
      <c r="AG76" s="16">
        <f>SUM(Z76:AF76)</f>
        <v>1</v>
      </c>
      <c r="AH76" t="b">
        <f>AG76=1</f>
        <v>1</v>
      </c>
      <c r="AI76" s="5">
        <v>1.08</v>
      </c>
    </row>
    <row r="77" spans="2:35" x14ac:dyDescent="0.25">
      <c r="B77" s="220"/>
      <c r="C77" s="161" t="s">
        <v>495</v>
      </c>
      <c r="D77" s="161" t="str">
        <f>Unit_Rates!G84</f>
        <v>Distribution system assets</v>
      </c>
      <c r="E77" s="161" t="str">
        <f>Unit_Rates!H84</f>
        <v>Replacement</v>
      </c>
      <c r="F77" s="161" t="str">
        <f>D77&amp;E77</f>
        <v>Distribution system assetsReplacement</v>
      </c>
      <c r="G77" s="256">
        <f>INDEX(Unit_Rates!$C$82:$K$87,MATCH($C77,Unit_Rates!$D$82:$D$87,0),7)</f>
        <v>0</v>
      </c>
      <c r="H77" s="431">
        <f>INDEX(Feeder_Vols!$H$18:$H$23,MATCH($B$3,Feeder_Vols!$G$18:$G$23,0),1)</f>
        <v>5</v>
      </c>
      <c r="I77" s="254" t="s">
        <v>308</v>
      </c>
      <c r="J77" s="161"/>
      <c r="K77" s="256">
        <f>G77*H77</f>
        <v>0</v>
      </c>
      <c r="L77" s="256">
        <f>SUMPRODUCT(R$5:X$5,R77:X77)/Thousands</f>
        <v>1.4643510054844622</v>
      </c>
      <c r="M77" s="256">
        <f>$H77*Unit_Rates!K83</f>
        <v>0</v>
      </c>
      <c r="N77" s="256">
        <f>$H77*Unit_Rates!$L$84</f>
        <v>0</v>
      </c>
      <c r="O77" s="256">
        <f>$H77*Unit_Rates!M83</f>
        <v>0</v>
      </c>
      <c r="P77" s="216">
        <f>SUM(K77:O77)</f>
        <v>1.4643510054844622</v>
      </c>
      <c r="Q77" s="14">
        <f>P77-H77*Unit_Rates!$E$84</f>
        <v>-8.0246851232725902E-3</v>
      </c>
      <c r="R77" s="628">
        <f t="shared" ref="R77:X78" si="21">$AI77*Z77*$H77</f>
        <v>0</v>
      </c>
      <c r="S77" s="628">
        <f t="shared" si="21"/>
        <v>0</v>
      </c>
      <c r="T77" s="628">
        <f t="shared" si="21"/>
        <v>0</v>
      </c>
      <c r="U77" s="628">
        <f t="shared" si="21"/>
        <v>0</v>
      </c>
      <c r="V77" s="628">
        <f t="shared" si="21"/>
        <v>9.241233616313199</v>
      </c>
      <c r="W77" s="628">
        <f t="shared" si="21"/>
        <v>0</v>
      </c>
      <c r="X77" s="628">
        <f t="shared" si="21"/>
        <v>0</v>
      </c>
      <c r="Y77" s="14">
        <f t="shared" si="12"/>
        <v>9.241233616313199</v>
      </c>
      <c r="Z77" s="15"/>
      <c r="AA77" s="15"/>
      <c r="AB77" s="15"/>
      <c r="AC77" s="15"/>
      <c r="AD77" s="15">
        <v>1</v>
      </c>
      <c r="AE77" s="15"/>
      <c r="AF77" s="15"/>
      <c r="AG77" s="16">
        <f>SUM(Z77:AF77)</f>
        <v>1</v>
      </c>
      <c r="AH77" t="b">
        <f>AG77=1</f>
        <v>1</v>
      </c>
      <c r="AI77" s="47">
        <v>1.8482467232626396</v>
      </c>
    </row>
    <row r="78" spans="2:35" x14ac:dyDescent="0.25">
      <c r="B78" s="220"/>
      <c r="C78" s="161" t="s">
        <v>496</v>
      </c>
      <c r="D78" s="161" t="str">
        <f>Unit_Rates!G85</f>
        <v>Distribution system assets</v>
      </c>
      <c r="E78" s="161" t="str">
        <f>Unit_Rates!H85</f>
        <v>Replacement</v>
      </c>
      <c r="F78" s="161" t="str">
        <f>D78&amp;E78</f>
        <v>Distribution system assetsReplacement</v>
      </c>
      <c r="G78" s="256">
        <f>INDEX(Unit_Rates!$C$82:$K$87,MATCH($C78,Unit_Rates!$D$82:$D$87,0),7)</f>
        <v>0</v>
      </c>
      <c r="H78" s="431">
        <f>INDEX(Feeder_Vols!$I$18:$I$23,MATCH($B$3,Feeder_Vols!$G$18:$G$23,0),1)</f>
        <v>5</v>
      </c>
      <c r="I78" s="254" t="s">
        <v>308</v>
      </c>
      <c r="J78" s="161"/>
      <c r="K78" s="256">
        <f>G78*H78</f>
        <v>0</v>
      </c>
      <c r="L78" s="256">
        <f>SUMPRODUCT(R$5:X$5,R78:X78)/Thousands</f>
        <v>48.811700182815336</v>
      </c>
      <c r="M78" s="256"/>
      <c r="N78" s="256">
        <f>$H78*Unit_Rates!$L$85</f>
        <v>0</v>
      </c>
      <c r="O78" s="256"/>
      <c r="P78" s="216">
        <f>SUM(K78:O78)</f>
        <v>48.811700182815336</v>
      </c>
      <c r="Q78" s="14">
        <f>P78-H78*Unit_Rates!$E$85</f>
        <v>-0.26748950410915739</v>
      </c>
      <c r="R78" s="628">
        <f t="shared" si="21"/>
        <v>0</v>
      </c>
      <c r="S78" s="628">
        <f t="shared" si="21"/>
        <v>0</v>
      </c>
      <c r="T78" s="628">
        <f t="shared" si="21"/>
        <v>0</v>
      </c>
      <c r="U78" s="628">
        <f t="shared" si="21"/>
        <v>0</v>
      </c>
      <c r="V78" s="628">
        <f t="shared" si="21"/>
        <v>308.04112054377288</v>
      </c>
      <c r="W78" s="628">
        <f t="shared" si="21"/>
        <v>0</v>
      </c>
      <c r="X78" s="628">
        <f t="shared" si="21"/>
        <v>0</v>
      </c>
      <c r="Y78" s="14">
        <f t="shared" si="12"/>
        <v>308.04112054377288</v>
      </c>
      <c r="Z78" s="15"/>
      <c r="AA78" s="15"/>
      <c r="AB78" s="15"/>
      <c r="AC78" s="15"/>
      <c r="AD78" s="15">
        <v>1</v>
      </c>
      <c r="AE78" s="15"/>
      <c r="AF78" s="15"/>
      <c r="AG78" s="16">
        <f>SUM(Z78:AF78)</f>
        <v>1</v>
      </c>
      <c r="AH78" t="b">
        <f>AG78=1</f>
        <v>1</v>
      </c>
      <c r="AI78" s="47">
        <v>61.608224108754577</v>
      </c>
    </row>
    <row r="79" spans="2:35" x14ac:dyDescent="0.25">
      <c r="B79" s="220"/>
      <c r="C79" s="161" t="s">
        <v>497</v>
      </c>
      <c r="D79" s="161" t="str">
        <f>Unit_Rates!G86</f>
        <v>Distribution system assets</v>
      </c>
      <c r="E79" s="161" t="str">
        <f>Unit_Rates!H86</f>
        <v>Replacement</v>
      </c>
      <c r="F79" s="161" t="str">
        <f>D79&amp;E79</f>
        <v>Distribution system assetsReplacement</v>
      </c>
      <c r="G79" s="256">
        <f>INDEX(Unit_Rates!$C$82:$K$87,MATCH($C79,Unit_Rates!$D$82:$D$87,0),7)</f>
        <v>4.9079189686924494</v>
      </c>
      <c r="H79" s="431">
        <f>INDEX(Feeder_Vols!$J$18:$J$23,MATCH($B$3,Feeder_Vols!$G$18:$G$23,0),1)</f>
        <v>6</v>
      </c>
      <c r="I79" s="254" t="s">
        <v>308</v>
      </c>
      <c r="J79" s="161"/>
      <c r="K79" s="256">
        <f>G79*H79</f>
        <v>29.447513812154696</v>
      </c>
      <c r="L79" s="256">
        <f>SUMPRODUCT(R$5:X$5,R79:X79)/Thousands</f>
        <v>0</v>
      </c>
      <c r="M79" s="256"/>
      <c r="N79" s="256">
        <f>$H79*Unit_Rates!$L$86</f>
        <v>95.704419889502759</v>
      </c>
      <c r="O79" s="256"/>
      <c r="P79" s="216">
        <f>SUM(K79:O79)</f>
        <v>125.15193370165746</v>
      </c>
      <c r="Q79" s="11">
        <f>P79-H79*Unit_Rates!$E$86</f>
        <v>0</v>
      </c>
      <c r="R79" s="313"/>
      <c r="S79" s="313"/>
      <c r="T79" s="313"/>
      <c r="U79" s="313"/>
      <c r="V79" s="313"/>
      <c r="W79" s="313"/>
      <c r="X79" s="313"/>
      <c r="Y79" s="14">
        <f t="shared" si="12"/>
        <v>0</v>
      </c>
      <c r="Z79" s="15"/>
      <c r="AA79" s="15"/>
      <c r="AB79" s="15"/>
      <c r="AC79" s="15"/>
      <c r="AD79" s="15"/>
      <c r="AE79" s="15"/>
      <c r="AF79" s="15"/>
      <c r="AG79" s="16"/>
      <c r="AI79" s="5"/>
    </row>
    <row r="80" spans="2:35" x14ac:dyDescent="0.25">
      <c r="B80" s="220"/>
      <c r="C80" s="161" t="s">
        <v>523</v>
      </c>
      <c r="D80" s="161" t="str">
        <f>Unit_Rates!G87</f>
        <v>Distribution system assets</v>
      </c>
      <c r="E80" s="161" t="str">
        <f>Unit_Rates!H87</f>
        <v>Replacement</v>
      </c>
      <c r="F80" s="161" t="str">
        <f>D80&amp;E80</f>
        <v>Distribution system assetsReplacement</v>
      </c>
      <c r="G80" s="256">
        <f>INDEX(Unit_Rates!$C$82:$K$87,MATCH($C80,Unit_Rates!$D$82:$D$87,0),7)</f>
        <v>4.7168141592920348E-2</v>
      </c>
      <c r="H80" s="431">
        <f>INDEX(Feeder_Vols!$K$18:$K$23,MATCH($B$3,Feeder_Vols!$G$18:$G$23,0),1)</f>
        <v>0</v>
      </c>
      <c r="I80" s="254" t="s">
        <v>494</v>
      </c>
      <c r="J80" s="161"/>
      <c r="K80" s="256">
        <f>G80*H80</f>
        <v>0</v>
      </c>
      <c r="L80" s="256">
        <f>SUMPRODUCT(R$5:X$5,R80:X80)/Thousands</f>
        <v>0</v>
      </c>
      <c r="M80" s="256"/>
      <c r="N80" s="256">
        <f>$H80*Unit_Rates!$L$87</f>
        <v>0</v>
      </c>
      <c r="O80" s="256"/>
      <c r="P80" s="216">
        <f>SUM(K80:O80)</f>
        <v>0</v>
      </c>
      <c r="Q80" s="11">
        <f>P80-H80*Unit_Rates!$E$87</f>
        <v>0</v>
      </c>
      <c r="R80" s="313"/>
      <c r="S80" s="313"/>
      <c r="T80" s="313"/>
      <c r="U80" s="313"/>
      <c r="V80" s="313"/>
      <c r="W80" s="313"/>
      <c r="X80" s="313"/>
      <c r="Y80" s="14">
        <f t="shared" si="12"/>
        <v>0</v>
      </c>
      <c r="Z80" s="15"/>
      <c r="AA80" s="15"/>
      <c r="AB80" s="15"/>
      <c r="AC80" s="15"/>
      <c r="AD80" s="15"/>
      <c r="AE80" s="15"/>
      <c r="AF80" s="15"/>
      <c r="AG80" s="16"/>
      <c r="AI80" s="5"/>
    </row>
    <row r="81" spans="2:35" x14ac:dyDescent="0.25">
      <c r="B81" s="239" t="s">
        <v>46</v>
      </c>
      <c r="C81" s="161"/>
      <c r="D81" s="161"/>
      <c r="E81" s="161"/>
      <c r="F81" s="161"/>
      <c r="G81" s="216"/>
      <c r="H81" s="219"/>
      <c r="I81" s="212"/>
      <c r="J81" s="161"/>
      <c r="K81" s="256"/>
      <c r="L81" s="256"/>
      <c r="M81" s="256"/>
      <c r="N81" s="256"/>
      <c r="O81" s="256"/>
      <c r="P81" s="216"/>
      <c r="R81" s="312"/>
      <c r="S81" s="309"/>
      <c r="T81" s="309"/>
      <c r="U81" s="309"/>
      <c r="V81" s="309"/>
      <c r="W81" s="309"/>
      <c r="X81" s="309"/>
      <c r="Y81" s="14"/>
      <c r="Z81" s="15"/>
      <c r="AA81" s="15"/>
      <c r="AB81" s="15"/>
      <c r="AC81" s="15"/>
      <c r="AD81" s="15"/>
      <c r="AE81" s="15"/>
      <c r="AF81" s="15"/>
      <c r="AI81" s="5"/>
    </row>
    <row r="82" spans="2:35" x14ac:dyDescent="0.25">
      <c r="B82" s="220"/>
      <c r="C82" s="161" t="s">
        <v>237</v>
      </c>
      <c r="D82" s="161" t="str">
        <f>Unit_Rates!G93</f>
        <v>Distribution system assets</v>
      </c>
      <c r="E82" s="161" t="str">
        <f>Unit_Rates!H93</f>
        <v>Replacement</v>
      </c>
      <c r="F82" s="161" t="str">
        <f t="shared" ref="F82:F90" si="22">D82&amp;E82</f>
        <v>Distribution system assetsReplacement</v>
      </c>
      <c r="G82" s="216">
        <f>Unit_Rates!I93</f>
        <v>14.150442477876103</v>
      </c>
      <c r="H82" s="432">
        <f>INDEX(Feeder_Vols!$C$29:$F$34,MATCH($B$3,Feeder_Vols!$B$29:$B$34,0),1)</f>
        <v>1</v>
      </c>
      <c r="I82" s="252" t="s">
        <v>308</v>
      </c>
      <c r="J82" s="161"/>
      <c r="K82" s="256">
        <f>G82*H82</f>
        <v>14.150442477876103</v>
      </c>
      <c r="L82" s="256">
        <f>SUMPRODUCT(R$5:X$5,R82:X82)/Thousands</f>
        <v>2.3089563327230636</v>
      </c>
      <c r="M82" s="256">
        <f>$H82*Unit_Rates!K93</f>
        <v>4.403199256673541</v>
      </c>
      <c r="N82" s="256">
        <f>$H82*Unit_Rates!L93</f>
        <v>30.144610829083657</v>
      </c>
      <c r="O82" s="256">
        <f>$H82*Unit_Rates!M93</f>
        <v>0</v>
      </c>
      <c r="P82" s="216">
        <f>SUM(K82:O82)</f>
        <v>51.007208896356367</v>
      </c>
      <c r="Q82" s="277">
        <f>P82-(H82*Unit_Rates!$E$93)</f>
        <v>9.0277749775538041E-3</v>
      </c>
      <c r="R82" s="628">
        <f t="shared" ref="R82:X85" si="23">$AI82*Z82*$H82</f>
        <v>4.3714119362045327</v>
      </c>
      <c r="S82" s="628">
        <f t="shared" si="23"/>
        <v>4.6792578472048518</v>
      </c>
      <c r="T82" s="628">
        <f t="shared" si="23"/>
        <v>5.369330216590618</v>
      </c>
      <c r="U82" s="628">
        <f t="shared" si="23"/>
        <v>0</v>
      </c>
      <c r="V82" s="628">
        <f t="shared" si="23"/>
        <v>0</v>
      </c>
      <c r="W82" s="628">
        <f t="shared" si="23"/>
        <v>0</v>
      </c>
      <c r="X82" s="628">
        <f t="shared" si="23"/>
        <v>0</v>
      </c>
      <c r="Y82" s="14">
        <f t="shared" si="12"/>
        <v>14.420000000000002</v>
      </c>
      <c r="Z82" s="15">
        <v>0.30314923274650013</v>
      </c>
      <c r="AA82" s="15">
        <v>0.32449777026385929</v>
      </c>
      <c r="AB82" s="15">
        <v>0.37235299698964058</v>
      </c>
      <c r="AC82" s="15">
        <v>0</v>
      </c>
      <c r="AD82" s="15">
        <v>0</v>
      </c>
      <c r="AE82" s="15">
        <v>0</v>
      </c>
      <c r="AF82" s="15">
        <v>0</v>
      </c>
      <c r="AG82" s="16">
        <f>SUM(Z82:AF82)</f>
        <v>1</v>
      </c>
      <c r="AH82" t="b">
        <f t="shared" ref="AH82:AH90" si="24">AG82=1</f>
        <v>1</v>
      </c>
      <c r="AI82" s="5">
        <v>14.420000000000002</v>
      </c>
    </row>
    <row r="83" spans="2:35" x14ac:dyDescent="0.25">
      <c r="B83" s="220"/>
      <c r="C83" s="161" t="s">
        <v>239</v>
      </c>
      <c r="D83" s="161" t="str">
        <f>Unit_Rates!G94</f>
        <v>Distribution system assets</v>
      </c>
      <c r="E83" s="161" t="str">
        <f>Unit_Rates!H94</f>
        <v>Replacement</v>
      </c>
      <c r="F83" s="161" t="str">
        <f t="shared" si="22"/>
        <v>Distribution system assetsReplacement</v>
      </c>
      <c r="G83" s="216">
        <f>Unit_Rates!I94</f>
        <v>21.323700104130506</v>
      </c>
      <c r="H83" s="432">
        <f>INDEX(Feeder_Vols!$C$29:$F$34,MATCH($B$3,Feeder_Vols!$B$29:$B$34,0),2)</f>
        <v>4</v>
      </c>
      <c r="I83" s="252" t="s">
        <v>308</v>
      </c>
      <c r="J83" s="161"/>
      <c r="K83" s="256">
        <f>G83*H83</f>
        <v>85.294800416522023</v>
      </c>
      <c r="L83" s="256">
        <f>SUMPRODUCT(R$5:X$5,R83:X83)/Thousands</f>
        <v>27.519154228855832</v>
      </c>
      <c r="M83" s="256">
        <f>$H83*Unit_Rates!K94</f>
        <v>17.560694203401592</v>
      </c>
      <c r="N83" s="256">
        <f>$H83*Unit_Rates!L94</f>
        <v>95.329482818465777</v>
      </c>
      <c r="O83" s="256">
        <f>$H83*Unit_Rates!M94</f>
        <v>25.086706004859415</v>
      </c>
      <c r="P83" s="216">
        <f>SUM(K83:O83)</f>
        <v>250.79083767210466</v>
      </c>
      <c r="Q83" s="19">
        <f>P83-(H83*Unit_Rates!$E$94)</f>
        <v>-7.6222376489511134E-2</v>
      </c>
      <c r="R83" s="628">
        <f t="shared" si="23"/>
        <v>52.100404657025756</v>
      </c>
      <c r="S83" s="628">
        <f t="shared" si="23"/>
        <v>55.769447238506444</v>
      </c>
      <c r="T83" s="628">
        <f t="shared" si="23"/>
        <v>63.994032386811448</v>
      </c>
      <c r="U83" s="628">
        <f t="shared" si="23"/>
        <v>0</v>
      </c>
      <c r="V83" s="628">
        <f t="shared" si="23"/>
        <v>0</v>
      </c>
      <c r="W83" s="628">
        <f t="shared" si="23"/>
        <v>0</v>
      </c>
      <c r="X83" s="628">
        <f t="shared" si="23"/>
        <v>0</v>
      </c>
      <c r="Y83" s="14">
        <f t="shared" si="12"/>
        <v>171.86388428234366</v>
      </c>
      <c r="Z83" s="15">
        <v>0.30314923274650013</v>
      </c>
      <c r="AA83" s="15">
        <v>0.32449777026385929</v>
      </c>
      <c r="AB83" s="15">
        <v>0.37235299698964064</v>
      </c>
      <c r="AC83" s="15">
        <v>0</v>
      </c>
      <c r="AD83" s="15">
        <v>0</v>
      </c>
      <c r="AE83" s="15">
        <v>0</v>
      </c>
      <c r="AF83" s="15">
        <v>0</v>
      </c>
      <c r="AG83" s="16">
        <f>SUM(Z83:AF83)</f>
        <v>1</v>
      </c>
      <c r="AH83" t="b">
        <f t="shared" si="24"/>
        <v>1</v>
      </c>
      <c r="AI83" s="5">
        <v>42.965971070585908</v>
      </c>
    </row>
    <row r="84" spans="2:35" x14ac:dyDescent="0.25">
      <c r="B84" s="220"/>
      <c r="C84" s="161" t="s">
        <v>241</v>
      </c>
      <c r="D84" s="161" t="str">
        <f>Unit_Rates!G95</f>
        <v>Distribution system assets</v>
      </c>
      <c r="E84" s="161" t="str">
        <f>Unit_Rates!H95</f>
        <v>Replacement</v>
      </c>
      <c r="F84" s="161" t="str">
        <f t="shared" si="22"/>
        <v>Distribution system assetsReplacement</v>
      </c>
      <c r="G84" s="216">
        <f>Unit_Rates!I95</f>
        <v>14.297621705426357</v>
      </c>
      <c r="H84" s="432">
        <f>INDEX(Feeder_Vols!$C$29:$F$34,MATCH($B$3,Feeder_Vols!$B$29:$B$34,0),3)</f>
        <v>0</v>
      </c>
      <c r="I84" s="252" t="s">
        <v>308</v>
      </c>
      <c r="J84" s="161"/>
      <c r="K84" s="256">
        <f>G84*H84</f>
        <v>0</v>
      </c>
      <c r="L84" s="256">
        <f>SUMPRODUCT(R$5:X$5,R84:X84)/Thousands</f>
        <v>0</v>
      </c>
      <c r="M84" s="256">
        <f>$H84*Unit_Rates!K95</f>
        <v>0</v>
      </c>
      <c r="N84" s="256">
        <f>$H84*Unit_Rates!L95</f>
        <v>0</v>
      </c>
      <c r="O84" s="256">
        <f>$H84*Unit_Rates!M95</f>
        <v>0</v>
      </c>
      <c r="P84" s="216">
        <f>SUM(K84:O84)</f>
        <v>0</v>
      </c>
      <c r="Q84" s="19">
        <f>P84-(H84*Unit_Rates!$E$95)</f>
        <v>0</v>
      </c>
      <c r="R84" s="628">
        <f t="shared" si="23"/>
        <v>0</v>
      </c>
      <c r="S84" s="628">
        <f t="shared" si="23"/>
        <v>0</v>
      </c>
      <c r="T84" s="628">
        <f t="shared" si="23"/>
        <v>0</v>
      </c>
      <c r="U84" s="628">
        <f t="shared" si="23"/>
        <v>0</v>
      </c>
      <c r="V84" s="628">
        <f t="shared" si="23"/>
        <v>0</v>
      </c>
      <c r="W84" s="628">
        <f t="shared" si="23"/>
        <v>0</v>
      </c>
      <c r="X84" s="628">
        <f t="shared" si="23"/>
        <v>0</v>
      </c>
      <c r="Y84" s="14">
        <f t="shared" si="12"/>
        <v>0</v>
      </c>
      <c r="Z84" s="15">
        <v>0.11818857666880556</v>
      </c>
      <c r="AA84" s="15">
        <v>0.49778875974979209</v>
      </c>
      <c r="AB84" s="15">
        <v>0.3840226635814023</v>
      </c>
      <c r="AC84" s="15">
        <v>0</v>
      </c>
      <c r="AD84" s="15">
        <v>0</v>
      </c>
      <c r="AE84" s="15">
        <v>0</v>
      </c>
      <c r="AF84" s="15">
        <v>0</v>
      </c>
      <c r="AG84" s="16">
        <f>SUM(Z84:AF84)</f>
        <v>1</v>
      </c>
      <c r="AH84" t="b">
        <f t="shared" si="24"/>
        <v>1</v>
      </c>
      <c r="AI84" s="5">
        <v>144.70421211980818</v>
      </c>
    </row>
    <row r="85" spans="2:35" x14ac:dyDescent="0.25">
      <c r="B85" s="220"/>
      <c r="C85" s="161" t="s">
        <v>243</v>
      </c>
      <c r="D85" s="161" t="str">
        <f>Unit_Rates!G96</f>
        <v>Distribution system assets</v>
      </c>
      <c r="E85" s="161" t="str">
        <f>Unit_Rates!H96</f>
        <v>Replacement</v>
      </c>
      <c r="F85" s="161" t="str">
        <f t="shared" si="22"/>
        <v>Distribution system assetsReplacement</v>
      </c>
      <c r="G85" s="216">
        <f>Unit_Rates!I96</f>
        <v>182.28643631627907</v>
      </c>
      <c r="H85" s="432">
        <f>INDEX(Feeder_Vols!$C$29:$F$34,MATCH($B$3,Feeder_Vols!$B$29:$B$34,0),4)</f>
        <v>0</v>
      </c>
      <c r="I85" s="252" t="s">
        <v>308</v>
      </c>
      <c r="J85" s="161"/>
      <c r="K85" s="256">
        <f>G85*H85</f>
        <v>0</v>
      </c>
      <c r="L85" s="256">
        <f>SUMPRODUCT(R$5:X$5,R85:X85)/Thousands</f>
        <v>0</v>
      </c>
      <c r="M85" s="256">
        <f>$H85*Unit_Rates!K96</f>
        <v>0</v>
      </c>
      <c r="N85" s="256">
        <f>$H85*Unit_Rates!L96</f>
        <v>0</v>
      </c>
      <c r="O85" s="256">
        <f>$H85*Unit_Rates!M96</f>
        <v>0</v>
      </c>
      <c r="P85" s="216">
        <f>SUM(K85:O85)</f>
        <v>0</v>
      </c>
      <c r="Q85" s="19">
        <f>P85-(H85*Unit_Rates!$E$96)</f>
        <v>0</v>
      </c>
      <c r="R85" s="628">
        <f t="shared" si="23"/>
        <v>0</v>
      </c>
      <c r="S85" s="628">
        <f t="shared" si="23"/>
        <v>0</v>
      </c>
      <c r="T85" s="628">
        <f t="shared" si="23"/>
        <v>0</v>
      </c>
      <c r="U85" s="628">
        <f t="shared" si="23"/>
        <v>0</v>
      </c>
      <c r="V85" s="628">
        <f t="shared" si="23"/>
        <v>0</v>
      </c>
      <c r="W85" s="628">
        <f t="shared" si="23"/>
        <v>0</v>
      </c>
      <c r="X85" s="628">
        <f t="shared" si="23"/>
        <v>0</v>
      </c>
      <c r="Y85" s="14">
        <f t="shared" si="12"/>
        <v>0</v>
      </c>
      <c r="Z85" s="15">
        <v>0.69942688247564233</v>
      </c>
      <c r="AA85" s="15">
        <v>4.8454943655496512E-2</v>
      </c>
      <c r="AB85" s="15">
        <v>0.25211817386886121</v>
      </c>
      <c r="AC85" s="15">
        <v>0</v>
      </c>
      <c r="AD85" s="15">
        <v>0</v>
      </c>
      <c r="AE85" s="15">
        <v>0</v>
      </c>
      <c r="AF85" s="15">
        <v>0</v>
      </c>
      <c r="AG85" s="16">
        <f>SUM(Z85:AF85)</f>
        <v>1</v>
      </c>
      <c r="AH85" t="b">
        <f t="shared" si="24"/>
        <v>1</v>
      </c>
      <c r="AI85" s="5">
        <v>220.41130997006761</v>
      </c>
    </row>
    <row r="86" spans="2:35" x14ac:dyDescent="0.25">
      <c r="B86" s="239" t="s">
        <v>312</v>
      </c>
      <c r="C86" s="161"/>
      <c r="D86" s="161"/>
      <c r="E86" s="161"/>
      <c r="F86" s="161"/>
      <c r="G86" s="216"/>
      <c r="H86" s="219"/>
      <c r="I86" s="252"/>
      <c r="J86" s="161"/>
      <c r="K86" s="256"/>
      <c r="L86" s="256"/>
      <c r="M86" s="256"/>
      <c r="N86" s="256"/>
      <c r="O86" s="256"/>
      <c r="P86" s="216"/>
      <c r="R86" s="309"/>
      <c r="S86" s="309"/>
      <c r="T86" s="309"/>
      <c r="U86" s="309"/>
      <c r="V86" s="309"/>
      <c r="W86" s="309"/>
      <c r="X86" s="309"/>
      <c r="Y86" s="14"/>
    </row>
    <row r="87" spans="2:35" x14ac:dyDescent="0.25">
      <c r="B87" s="220"/>
      <c r="C87" s="161" t="s">
        <v>535</v>
      </c>
      <c r="D87" s="161" t="str">
        <f>Unit_Rates!G102</f>
        <v>Distribution system assets</v>
      </c>
      <c r="E87" s="161" t="str">
        <f>Unit_Rates!H102</f>
        <v>Augmentation</v>
      </c>
      <c r="F87" s="161" t="str">
        <f t="shared" si="22"/>
        <v>Distribution system assetsAugmentation</v>
      </c>
      <c r="G87" s="216">
        <f>Unit_Rates!I102</f>
        <v>0</v>
      </c>
      <c r="H87" s="431">
        <f>INDEX(Feeder_Vols!$C$39:$F$44,MATCH($B$3,Feeder_Vols!$B$39:$B$44,0),1)</f>
        <v>0</v>
      </c>
      <c r="I87" s="252" t="s">
        <v>308</v>
      </c>
      <c r="J87" s="161"/>
      <c r="K87" s="256">
        <f>G87*H87</f>
        <v>0</v>
      </c>
      <c r="L87" s="256">
        <f>SUMPRODUCT(R$5:X$5,R87:X87)/Thousands</f>
        <v>0</v>
      </c>
      <c r="M87" s="256">
        <f>$H87*Unit_Rates!K102</f>
        <v>0</v>
      </c>
      <c r="N87" s="256">
        <f>$H87*Unit_Rates!L102</f>
        <v>0</v>
      </c>
      <c r="O87" s="256">
        <f>$H87*Unit_Rates!M102</f>
        <v>0</v>
      </c>
      <c r="P87" s="216">
        <f>SUM(K87:O87)</f>
        <v>0</v>
      </c>
      <c r="Q87" s="14">
        <f>P87-H87*Unit_Rates!$E102</f>
        <v>0</v>
      </c>
      <c r="R87" s="628">
        <f t="shared" ref="R87:X87" si="25">$AI87*Z87*$H87</f>
        <v>0</v>
      </c>
      <c r="S87" s="628">
        <f t="shared" si="25"/>
        <v>0</v>
      </c>
      <c r="T87" s="628">
        <f t="shared" si="25"/>
        <v>0</v>
      </c>
      <c r="U87" s="628">
        <f t="shared" si="25"/>
        <v>0</v>
      </c>
      <c r="V87" s="628">
        <f t="shared" si="25"/>
        <v>0</v>
      </c>
      <c r="W87" s="628">
        <f t="shared" si="25"/>
        <v>0</v>
      </c>
      <c r="X87" s="628">
        <f t="shared" si="25"/>
        <v>0</v>
      </c>
      <c r="Y87" s="14">
        <f t="shared" si="12"/>
        <v>0</v>
      </c>
      <c r="Z87" s="15">
        <v>0.18112413889844414</v>
      </c>
      <c r="AA87" s="15">
        <v>0.21477521965386426</v>
      </c>
      <c r="AB87" s="15">
        <v>0.6041006414476916</v>
      </c>
      <c r="AC87" s="15">
        <v>0</v>
      </c>
      <c r="AD87" s="15">
        <v>0</v>
      </c>
      <c r="AE87" s="15">
        <v>0</v>
      </c>
      <c r="AF87" s="15">
        <v>0</v>
      </c>
      <c r="AG87" s="16">
        <f>SUM(Z87:AF87)</f>
        <v>1</v>
      </c>
      <c r="AH87" t="b">
        <f t="shared" si="24"/>
        <v>1</v>
      </c>
      <c r="AI87" s="5">
        <v>469.77670058953754</v>
      </c>
    </row>
    <row r="88" spans="2:35" x14ac:dyDescent="0.25">
      <c r="B88" s="220"/>
      <c r="C88" s="161" t="s">
        <v>467</v>
      </c>
      <c r="D88" s="161" t="str">
        <f>Unit_Rates!G103</f>
        <v>Distribution system assets</v>
      </c>
      <c r="E88" s="161" t="str">
        <f>Unit_Rates!H103</f>
        <v>Augmentation</v>
      </c>
      <c r="F88" s="161" t="str">
        <f t="shared" si="22"/>
        <v>Distribution system assetsAugmentation</v>
      </c>
      <c r="G88" s="216">
        <f>Unit_Rates!I103</f>
        <v>0</v>
      </c>
      <c r="H88" s="431">
        <f>INDEX(Feeder_Vols!$C$39:$F$44,MATCH($B$3,Feeder_Vols!$B$39:$B$44,0),2)</f>
        <v>0</v>
      </c>
      <c r="I88" s="252" t="s">
        <v>308</v>
      </c>
      <c r="J88" s="161"/>
      <c r="K88" s="256">
        <f>G88*H88</f>
        <v>0</v>
      </c>
      <c r="L88" s="256">
        <f>SUMPRODUCT(R$5:X$5,R88:X88)/Thousands</f>
        <v>0</v>
      </c>
      <c r="M88" s="256">
        <f>$H88*Unit_Rates!K103</f>
        <v>0</v>
      </c>
      <c r="N88" s="256">
        <f>$H88*Unit_Rates!L103</f>
        <v>0</v>
      </c>
      <c r="O88" s="256">
        <f>$H88*Unit_Rates!M103</f>
        <v>0</v>
      </c>
      <c r="P88" s="216">
        <f>SUM(K88:O88)</f>
        <v>0</v>
      </c>
      <c r="Q88" s="14">
        <f>P88-H88*Unit_Rates!$E103</f>
        <v>0</v>
      </c>
      <c r="R88" s="628">
        <f t="shared" ref="R88:X90" si="26">$AI88*Z88*$H88</f>
        <v>0</v>
      </c>
      <c r="S88" s="628">
        <f t="shared" si="26"/>
        <v>0</v>
      </c>
      <c r="T88" s="628">
        <f t="shared" si="26"/>
        <v>0</v>
      </c>
      <c r="U88" s="628">
        <f t="shared" si="26"/>
        <v>0</v>
      </c>
      <c r="V88" s="628">
        <f t="shared" si="26"/>
        <v>0</v>
      </c>
      <c r="W88" s="628">
        <f t="shared" si="26"/>
        <v>0</v>
      </c>
      <c r="X88" s="628">
        <f t="shared" si="26"/>
        <v>0</v>
      </c>
      <c r="Y88" s="14">
        <f t="shared" si="12"/>
        <v>0</v>
      </c>
      <c r="Z88" s="15">
        <v>0.18112413889844414</v>
      </c>
      <c r="AA88" s="15">
        <v>0.42955043930772852</v>
      </c>
      <c r="AB88" s="15">
        <v>0.3893254217938274</v>
      </c>
      <c r="AC88" s="15">
        <v>0</v>
      </c>
      <c r="AD88" s="15">
        <v>0</v>
      </c>
      <c r="AE88" s="15">
        <v>0</v>
      </c>
      <c r="AF88" s="15">
        <v>0</v>
      </c>
      <c r="AG88" s="16">
        <f>SUM(Z88:AF88)</f>
        <v>1</v>
      </c>
      <c r="AH88" t="b">
        <f t="shared" si="24"/>
        <v>1</v>
      </c>
      <c r="AI88" s="5">
        <v>500.15046310508262</v>
      </c>
    </row>
    <row r="89" spans="2:35" x14ac:dyDescent="0.25">
      <c r="B89" s="220"/>
      <c r="C89" s="161" t="s">
        <v>466</v>
      </c>
      <c r="D89" s="161" t="str">
        <f>Unit_Rates!G104</f>
        <v>Distribution system assets</v>
      </c>
      <c r="E89" s="161" t="str">
        <f>Unit_Rates!H104</f>
        <v>Augmentation</v>
      </c>
      <c r="F89" s="161" t="str">
        <f t="shared" si="22"/>
        <v>Distribution system assetsAugmentation</v>
      </c>
      <c r="G89" s="216">
        <f>Unit_Rates!I104</f>
        <v>0</v>
      </c>
      <c r="H89" s="431">
        <f>INDEX(Feeder_Vols!$C$39:$F$44,MATCH($B$3,Feeder_Vols!$B$39:$B$44,0),3)</f>
        <v>0</v>
      </c>
      <c r="I89" s="252" t="s">
        <v>308</v>
      </c>
      <c r="J89" s="161"/>
      <c r="K89" s="256">
        <f>G89*H89</f>
        <v>0</v>
      </c>
      <c r="L89" s="256">
        <f>SUMPRODUCT(R$5:X$5,R89:X89)/Thousands</f>
        <v>0</v>
      </c>
      <c r="M89" s="256">
        <f>$H89*Unit_Rates!K104</f>
        <v>0</v>
      </c>
      <c r="N89" s="256">
        <f>$H89*Unit_Rates!L104</f>
        <v>0</v>
      </c>
      <c r="O89" s="256">
        <f>$H89*Unit_Rates!M104</f>
        <v>0</v>
      </c>
      <c r="P89" s="216">
        <f>SUM(K89:O89)</f>
        <v>0</v>
      </c>
      <c r="Q89" s="14">
        <f>P89-H89*Unit_Rates!$E104</f>
        <v>0</v>
      </c>
      <c r="R89" s="628">
        <f t="shared" si="26"/>
        <v>0</v>
      </c>
      <c r="S89" s="628">
        <f t="shared" si="26"/>
        <v>0</v>
      </c>
      <c r="T89" s="628">
        <f t="shared" si="26"/>
        <v>0</v>
      </c>
      <c r="U89" s="628">
        <f t="shared" si="26"/>
        <v>0</v>
      </c>
      <c r="V89" s="628">
        <f t="shared" si="26"/>
        <v>0</v>
      </c>
      <c r="W89" s="628">
        <f t="shared" si="26"/>
        <v>0</v>
      </c>
      <c r="X89" s="628">
        <f t="shared" si="26"/>
        <v>0</v>
      </c>
      <c r="Y89" s="14">
        <f t="shared" si="12"/>
        <v>0</v>
      </c>
      <c r="Z89" s="15">
        <v>0.18112413889844414</v>
      </c>
      <c r="AA89" s="15">
        <v>0.42955043930772852</v>
      </c>
      <c r="AB89" s="15">
        <v>0.3893254217938274</v>
      </c>
      <c r="AC89" s="15">
        <v>0</v>
      </c>
      <c r="AD89" s="15">
        <v>0</v>
      </c>
      <c r="AE89" s="15">
        <v>0</v>
      </c>
      <c r="AF89" s="15">
        <v>0</v>
      </c>
      <c r="AG89" s="16">
        <f>SUM(Z89:AF89)</f>
        <v>1</v>
      </c>
      <c r="AH89" t="b">
        <f t="shared" si="24"/>
        <v>1</v>
      </c>
      <c r="AI89" s="5">
        <v>416.11120533381393</v>
      </c>
    </row>
    <row r="90" spans="2:35" x14ac:dyDescent="0.25">
      <c r="B90" s="220"/>
      <c r="C90" s="161" t="s">
        <v>311</v>
      </c>
      <c r="D90" s="161" t="str">
        <f>Unit_Rates!G105</f>
        <v>Distribution system assets</v>
      </c>
      <c r="E90" s="161" t="str">
        <f>Unit_Rates!H105</f>
        <v>Replacement</v>
      </c>
      <c r="F90" s="161" t="str">
        <f t="shared" si="22"/>
        <v>Distribution system assetsReplacement</v>
      </c>
      <c r="G90" s="216">
        <f>Unit_Rates!I105</f>
        <v>30.885851347412974</v>
      </c>
      <c r="H90" s="431">
        <f>INDEX(Feeder_Vols!$C$39:$I$44,MATCH($B$3,Feeder_Vols!$B$39:$B$44,0),7)</f>
        <v>0</v>
      </c>
      <c r="I90" s="252" t="s">
        <v>308</v>
      </c>
      <c r="J90" s="161"/>
      <c r="K90" s="256">
        <f>G90*H90</f>
        <v>0</v>
      </c>
      <c r="L90" s="256">
        <f>SUMPRODUCT(R$5:X$5,R90:X90)/Thousands</f>
        <v>0</v>
      </c>
      <c r="M90" s="256">
        <f>$H90*Unit_Rates!K105</f>
        <v>0</v>
      </c>
      <c r="N90" s="256">
        <f>$H90*Unit_Rates!L105</f>
        <v>0</v>
      </c>
      <c r="O90" s="256">
        <f>$H90*Unit_Rates!M105</f>
        <v>0</v>
      </c>
      <c r="P90" s="216">
        <f>SUM(K90:O90)</f>
        <v>0</v>
      </c>
      <c r="Q90" s="14">
        <f>P90-H90*Unit_Rates!$E105</f>
        <v>0</v>
      </c>
      <c r="R90" s="628">
        <f t="shared" si="26"/>
        <v>0</v>
      </c>
      <c r="S90" s="628">
        <f t="shared" si="26"/>
        <v>0</v>
      </c>
      <c r="T90" s="628">
        <f t="shared" si="26"/>
        <v>0</v>
      </c>
      <c r="U90" s="628">
        <f t="shared" si="26"/>
        <v>0</v>
      </c>
      <c r="V90" s="628">
        <f t="shared" si="26"/>
        <v>0</v>
      </c>
      <c r="W90" s="628">
        <f t="shared" si="26"/>
        <v>0</v>
      </c>
      <c r="X90" s="628">
        <f t="shared" si="26"/>
        <v>0</v>
      </c>
      <c r="Y90" s="14">
        <f t="shared" si="12"/>
        <v>0</v>
      </c>
      <c r="Z90" s="15">
        <v>0.30314923274650013</v>
      </c>
      <c r="AA90" s="15">
        <v>0.32449777026385929</v>
      </c>
      <c r="AB90" s="15">
        <v>0.37235299698964064</v>
      </c>
      <c r="AC90" s="15">
        <v>0</v>
      </c>
      <c r="AD90" s="15">
        <v>0</v>
      </c>
      <c r="AE90" s="15">
        <v>0</v>
      </c>
      <c r="AF90" s="15">
        <v>0</v>
      </c>
      <c r="AG90" s="16">
        <f>SUM(Z90:AF90)</f>
        <v>1</v>
      </c>
      <c r="AH90" t="b">
        <f t="shared" si="24"/>
        <v>1</v>
      </c>
      <c r="AI90" s="5">
        <v>61.06</v>
      </c>
    </row>
    <row r="91" spans="2:35" x14ac:dyDescent="0.25">
      <c r="B91" s="220"/>
      <c r="C91" s="161"/>
      <c r="D91" s="161"/>
      <c r="E91" s="161"/>
      <c r="F91" s="161"/>
      <c r="G91" s="212"/>
      <c r="H91" s="220"/>
      <c r="I91" s="212"/>
      <c r="J91" s="161"/>
      <c r="K91" s="223"/>
      <c r="L91" s="223"/>
      <c r="M91" s="223"/>
      <c r="N91" s="223"/>
      <c r="O91" s="223"/>
      <c r="P91" s="212"/>
    </row>
    <row r="92" spans="2:35" x14ac:dyDescent="0.25">
      <c r="B92" s="239" t="s">
        <v>299</v>
      </c>
      <c r="C92" s="161"/>
      <c r="D92" s="161"/>
      <c r="E92" s="161"/>
      <c r="F92" s="161"/>
      <c r="G92" s="212"/>
      <c r="H92" s="220"/>
      <c r="I92" s="212"/>
      <c r="J92" s="161"/>
      <c r="K92" s="302">
        <f t="shared" ref="K92:P92" si="27">SUM(K74:K90)</f>
        <v>896.77543310793646</v>
      </c>
      <c r="L92" s="302">
        <f t="shared" si="27"/>
        <v>391.50212714801683</v>
      </c>
      <c r="M92" s="302">
        <f t="shared" si="27"/>
        <v>115.90394628559217</v>
      </c>
      <c r="N92" s="302">
        <f t="shared" si="27"/>
        <v>1810.9026016832604</v>
      </c>
      <c r="O92" s="302">
        <f t="shared" si="27"/>
        <v>100.30019606622199</v>
      </c>
      <c r="P92" s="302">
        <f t="shared" si="27"/>
        <v>3315.3843042910285</v>
      </c>
    </row>
    <row r="93" spans="2:35" x14ac:dyDescent="0.25">
      <c r="B93" s="247" t="s">
        <v>72</v>
      </c>
      <c r="C93" s="248"/>
      <c r="D93" s="248"/>
      <c r="E93" s="248"/>
      <c r="F93" s="248"/>
      <c r="G93" s="248"/>
      <c r="H93" s="248"/>
      <c r="I93" s="248"/>
      <c r="J93" s="248"/>
      <c r="K93" s="197">
        <f>K92-SUMIF(Direct_Capex_Totals!$B$16:$B$85,$B$3,Direct_Capex_Totals!Q$16:Q$85)</f>
        <v>0</v>
      </c>
      <c r="L93" s="197">
        <f>L92-SUMIF(Direct_Capex_Totals!$B$16:$B$85,$B$3,Direct_Capex_Totals!R$16:R$85)</f>
        <v>0</v>
      </c>
      <c r="M93" s="197">
        <f>M92-SUMIF(Direct_Capex_Totals!$B$16:$B$85,$B$3,Direct_Capex_Totals!S$16:S$85)</f>
        <v>0</v>
      </c>
      <c r="N93" s="197">
        <f>N92-SUMIF(Direct_Capex_Totals!$B$16:$B$85,$B$3,Direct_Capex_Totals!T$16:T$85)</f>
        <v>0</v>
      </c>
      <c r="O93" s="197">
        <f>O92-SUMIF(Direct_Capex_Totals!$B$16:$B$85,$B$3,Direct_Capex_Totals!U$16:U$85)</f>
        <v>0</v>
      </c>
      <c r="P93" s="249">
        <f>SUM(K93:O93)</f>
        <v>0</v>
      </c>
      <c r="Q93" s="11"/>
    </row>
    <row r="94" spans="2:35" x14ac:dyDescent="0.25">
      <c r="B94" s="220"/>
      <c r="C94" s="161"/>
      <c r="D94" s="161"/>
      <c r="E94" s="161"/>
      <c r="F94" s="161"/>
      <c r="G94" s="161"/>
      <c r="H94" s="161"/>
      <c r="I94" s="161"/>
      <c r="J94" s="161"/>
      <c r="K94" s="147"/>
      <c r="L94" s="147"/>
      <c r="M94" s="147"/>
      <c r="N94" s="147"/>
      <c r="O94" s="147"/>
      <c r="P94" s="221"/>
    </row>
    <row r="95" spans="2:35" x14ac:dyDescent="0.25">
      <c r="B95" s="239" t="s">
        <v>119</v>
      </c>
      <c r="C95" s="240"/>
      <c r="D95" s="240"/>
      <c r="E95" s="240"/>
      <c r="F95" s="240"/>
      <c r="G95" s="240"/>
      <c r="H95" s="240"/>
      <c r="I95" s="240"/>
      <c r="J95" s="240"/>
      <c r="K95" s="26">
        <f t="shared" ref="K95:P95" si="28">K59+K92</f>
        <v>3964.299956142861</v>
      </c>
      <c r="L95" s="26">
        <f t="shared" si="28"/>
        <v>1417.6536445667421</v>
      </c>
      <c r="M95" s="26">
        <f t="shared" si="28"/>
        <v>1247.9393445156804</v>
      </c>
      <c r="N95" s="26">
        <f t="shared" si="28"/>
        <v>4483.7905832048309</v>
      </c>
      <c r="O95" s="26">
        <f t="shared" si="28"/>
        <v>258.89853256453517</v>
      </c>
      <c r="P95" s="241">
        <f t="shared" si="28"/>
        <v>11372.582060994646</v>
      </c>
    </row>
    <row r="96" spans="2:35" x14ac:dyDescent="0.25">
      <c r="B96" s="246" t="s">
        <v>72</v>
      </c>
      <c r="C96" s="242"/>
      <c r="D96" s="242"/>
      <c r="E96" s="242"/>
      <c r="F96" s="242"/>
      <c r="G96" s="242"/>
      <c r="H96" s="242"/>
      <c r="I96" s="242"/>
      <c r="J96" s="242"/>
      <c r="K96" s="243">
        <f>K95-Direct_Capex_Totals!Q112</f>
        <v>0</v>
      </c>
      <c r="L96" s="243">
        <f>L95-Direct_Capex_Totals!R112</f>
        <v>0</v>
      </c>
      <c r="M96" s="243">
        <f>M95-Direct_Capex_Totals!S112</f>
        <v>0</v>
      </c>
      <c r="N96" s="243">
        <f>N95-Direct_Capex_Totals!T112</f>
        <v>0</v>
      </c>
      <c r="O96" s="243">
        <f>O95-Direct_Capex_Totals!U112</f>
        <v>0</v>
      </c>
      <c r="P96" s="322">
        <f>SUM(K96:O96)</f>
        <v>0</v>
      </c>
    </row>
    <row r="99" spans="3:16" outlineLevel="1" x14ac:dyDescent="0.25">
      <c r="C99" t="s">
        <v>277</v>
      </c>
      <c r="D99" t="s">
        <v>18</v>
      </c>
      <c r="E99" t="s">
        <v>42</v>
      </c>
      <c r="F99" s="161" t="str">
        <f>D99&amp;E99</f>
        <v>SubtransmissionAugmentation</v>
      </c>
      <c r="K99" s="6">
        <v>1632.3563663716811</v>
      </c>
      <c r="L99" s="6">
        <v>0</v>
      </c>
      <c r="M99" s="6">
        <v>0</v>
      </c>
      <c r="N99" s="6">
        <v>2219.1305849796827</v>
      </c>
      <c r="O99" s="6">
        <v>156.15862300884953</v>
      </c>
      <c r="P99" s="6">
        <f>SUM(K99:O99)</f>
        <v>4007.6455743602137</v>
      </c>
    </row>
    <row r="100" spans="3:16" outlineLevel="1" x14ac:dyDescent="0.25">
      <c r="D100" t="s">
        <v>18</v>
      </c>
      <c r="E100" t="s">
        <v>44</v>
      </c>
      <c r="F100" s="161" t="str">
        <f>D100&amp;E100</f>
        <v>SubtransmissionReplacement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ref="P100:P119" si="29">SUM(K100:O100)</f>
        <v>0</v>
      </c>
    </row>
    <row r="101" spans="3:16" outlineLevel="1" x14ac:dyDescent="0.25">
      <c r="D101" t="s">
        <v>22</v>
      </c>
      <c r="E101" t="s">
        <v>42</v>
      </c>
      <c r="F101" s="161" t="str">
        <f>D101&amp;E101</f>
        <v>SCADA/Network controlAugmentation</v>
      </c>
      <c r="K101" s="6">
        <v>1435.1681566632437</v>
      </c>
      <c r="L101" s="6">
        <v>0</v>
      </c>
      <c r="M101" s="6">
        <v>0</v>
      </c>
      <c r="N101" s="6">
        <v>453.7573965418876</v>
      </c>
      <c r="O101" s="6">
        <v>2.4397134894636476</v>
      </c>
      <c r="P101" s="6">
        <f t="shared" si="29"/>
        <v>1891.365266694595</v>
      </c>
    </row>
    <row r="102" spans="3:16" outlineLevel="1" x14ac:dyDescent="0.25">
      <c r="D102" t="s">
        <v>22</v>
      </c>
      <c r="E102" t="s">
        <v>44</v>
      </c>
      <c r="F102" s="161" t="str">
        <f>D102&amp;E102</f>
        <v>SCADA/Network controlReplacement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9"/>
        <v>0</v>
      </c>
    </row>
    <row r="103" spans="3:16" outlineLevel="1" x14ac:dyDescent="0.25">
      <c r="D103" t="s">
        <v>211</v>
      </c>
      <c r="E103" t="s">
        <v>83</v>
      </c>
      <c r="F103" s="161" t="str">
        <f>D103&amp;E103</f>
        <v>LandNon-Network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f t="shared" si="29"/>
        <v>0</v>
      </c>
    </row>
    <row r="104" spans="3:16" outlineLevel="1" x14ac:dyDescent="0.25">
      <c r="F104" s="161"/>
      <c r="K104" s="6">
        <f t="shared" ref="K104:P104" si="30">SUM(K99:K103)</f>
        <v>3067.5245230349246</v>
      </c>
      <c r="L104" s="6">
        <f t="shared" si="30"/>
        <v>0</v>
      </c>
      <c r="M104" s="6">
        <f t="shared" si="30"/>
        <v>0</v>
      </c>
      <c r="N104" s="6">
        <f t="shared" si="30"/>
        <v>2672.8879815215705</v>
      </c>
      <c r="O104" s="6">
        <f t="shared" si="30"/>
        <v>158.59833649831319</v>
      </c>
      <c r="P104" s="6">
        <f t="shared" si="30"/>
        <v>5899.0108410548091</v>
      </c>
    </row>
    <row r="105" spans="3:16" outlineLevel="1" x14ac:dyDescent="0.25">
      <c r="C105" t="s">
        <v>379</v>
      </c>
      <c r="D105" t="s">
        <v>18</v>
      </c>
      <c r="E105" t="s">
        <v>42</v>
      </c>
      <c r="F105" s="161" t="str">
        <f>D105&amp;E105</f>
        <v>SubtransmissionAugmentation</v>
      </c>
      <c r="K105" s="6"/>
      <c r="L105" s="6">
        <v>697.14257156218753</v>
      </c>
      <c r="M105" s="6">
        <v>769.07752434723204</v>
      </c>
      <c r="N105" s="6">
        <v>0</v>
      </c>
      <c r="O105" s="6"/>
      <c r="P105" s="6">
        <f>SUM(K105:O105)</f>
        <v>1466.2200959094196</v>
      </c>
    </row>
    <row r="106" spans="3:16" outlineLevel="1" x14ac:dyDescent="0.25">
      <c r="D106" t="s">
        <v>18</v>
      </c>
      <c r="E106" t="s">
        <v>44</v>
      </c>
      <c r="F106" s="161" t="str">
        <f>D106&amp;E106</f>
        <v>SubtransmissionReplacement</v>
      </c>
      <c r="K106" s="6"/>
      <c r="L106" s="6">
        <v>0</v>
      </c>
      <c r="M106" s="6">
        <v>0</v>
      </c>
      <c r="N106" s="6">
        <v>0</v>
      </c>
      <c r="O106" s="6"/>
      <c r="P106" s="6">
        <f t="shared" si="29"/>
        <v>0</v>
      </c>
    </row>
    <row r="107" spans="3:16" outlineLevel="1" x14ac:dyDescent="0.25">
      <c r="D107" t="s">
        <v>22</v>
      </c>
      <c r="E107" t="s">
        <v>42</v>
      </c>
      <c r="F107" s="161" t="str">
        <f>D107&amp;E107</f>
        <v>SCADA/Network controlAugmentation</v>
      </c>
      <c r="K107" s="6"/>
      <c r="L107" s="6">
        <v>329.00894585653771</v>
      </c>
      <c r="M107" s="6">
        <v>362.95787388285623</v>
      </c>
      <c r="N107" s="6">
        <v>0</v>
      </c>
      <c r="O107" s="6"/>
      <c r="P107" s="6">
        <f t="shared" si="29"/>
        <v>691.96681973939394</v>
      </c>
    </row>
    <row r="108" spans="3:16" outlineLevel="1" x14ac:dyDescent="0.25">
      <c r="D108" t="s">
        <v>22</v>
      </c>
      <c r="E108" t="s">
        <v>44</v>
      </c>
      <c r="F108" s="161" t="str">
        <f>D108&amp;E108</f>
        <v>SCADA/Network controlReplacement</v>
      </c>
      <c r="K108" s="6"/>
      <c r="L108" s="6">
        <v>0</v>
      </c>
      <c r="M108" s="6">
        <v>0</v>
      </c>
      <c r="N108" s="6">
        <v>0</v>
      </c>
      <c r="O108" s="6"/>
      <c r="P108" s="6">
        <f t="shared" si="29"/>
        <v>0</v>
      </c>
    </row>
    <row r="109" spans="3:16" outlineLevel="1" x14ac:dyDescent="0.25">
      <c r="D109" t="s">
        <v>211</v>
      </c>
      <c r="E109" t="s">
        <v>83</v>
      </c>
      <c r="F109" s="161" t="str">
        <f>D109&amp;E109</f>
        <v>LandNon-Network</v>
      </c>
      <c r="K109" s="39"/>
      <c r="L109" s="39">
        <v>0</v>
      </c>
      <c r="M109" s="39">
        <v>0</v>
      </c>
      <c r="N109" s="39">
        <v>0</v>
      </c>
      <c r="O109" s="39"/>
      <c r="P109" s="39">
        <f t="shared" si="29"/>
        <v>0</v>
      </c>
    </row>
    <row r="110" spans="3:16" outlineLevel="1" x14ac:dyDescent="0.25">
      <c r="F110" s="161"/>
      <c r="K110" s="6">
        <f t="shared" ref="K110:P110" si="31">SUM(K105:K109)</f>
        <v>0</v>
      </c>
      <c r="L110" s="6">
        <f t="shared" si="31"/>
        <v>1026.1515174187252</v>
      </c>
      <c r="M110" s="6">
        <f t="shared" si="31"/>
        <v>1132.0353982300883</v>
      </c>
      <c r="N110" s="6">
        <f t="shared" si="31"/>
        <v>0</v>
      </c>
      <c r="O110" s="6">
        <f t="shared" si="31"/>
        <v>0</v>
      </c>
      <c r="P110" s="6">
        <f t="shared" si="31"/>
        <v>2158.1869156488137</v>
      </c>
    </row>
    <row r="111" spans="3:16" outlineLevel="1" x14ac:dyDescent="0.25">
      <c r="C111" t="s">
        <v>387</v>
      </c>
      <c r="D111" t="s">
        <v>18</v>
      </c>
      <c r="E111" t="s">
        <v>42</v>
      </c>
      <c r="F111" s="161" t="str">
        <f>D111&amp;E111</f>
        <v>SubtransmissionAugmentation</v>
      </c>
      <c r="K111" s="6">
        <f t="shared" ref="K111:P111" si="32">K99+K105</f>
        <v>1632.3563663716811</v>
      </c>
      <c r="L111" s="6">
        <f t="shared" si="32"/>
        <v>697.14257156218753</v>
      </c>
      <c r="M111" s="6">
        <f t="shared" si="32"/>
        <v>769.07752434723204</v>
      </c>
      <c r="N111" s="6">
        <f t="shared" si="32"/>
        <v>2219.1305849796827</v>
      </c>
      <c r="O111" s="6">
        <f t="shared" si="32"/>
        <v>156.15862300884953</v>
      </c>
      <c r="P111" s="6">
        <f t="shared" si="32"/>
        <v>5473.8656702696335</v>
      </c>
    </row>
    <row r="112" spans="3:16" outlineLevel="1" x14ac:dyDescent="0.25">
      <c r="D112" t="s">
        <v>18</v>
      </c>
      <c r="E112" t="s">
        <v>44</v>
      </c>
      <c r="F112" s="161" t="str">
        <f>D112&amp;E112</f>
        <v>SubtransmissionReplacement</v>
      </c>
      <c r="K112" s="6">
        <f t="shared" ref="K112:P115" si="33">K100+K106</f>
        <v>0</v>
      </c>
      <c r="L112" s="6">
        <f t="shared" si="33"/>
        <v>0</v>
      </c>
      <c r="M112" s="6">
        <f t="shared" si="33"/>
        <v>0</v>
      </c>
      <c r="N112" s="6">
        <f t="shared" si="33"/>
        <v>0</v>
      </c>
      <c r="O112" s="6">
        <f t="shared" si="33"/>
        <v>0</v>
      </c>
      <c r="P112" s="6">
        <f t="shared" si="33"/>
        <v>0</v>
      </c>
    </row>
    <row r="113" spans="3:16" outlineLevel="1" x14ac:dyDescent="0.25">
      <c r="D113" t="s">
        <v>22</v>
      </c>
      <c r="E113" t="s">
        <v>42</v>
      </c>
      <c r="F113" s="161" t="str">
        <f>D113&amp;E113</f>
        <v>SCADA/Network controlAugmentation</v>
      </c>
      <c r="K113" s="6">
        <f t="shared" si="33"/>
        <v>1435.1681566632437</v>
      </c>
      <c r="L113" s="6">
        <f t="shared" si="33"/>
        <v>329.00894585653771</v>
      </c>
      <c r="M113" s="6">
        <f t="shared" si="33"/>
        <v>362.95787388285623</v>
      </c>
      <c r="N113" s="6">
        <f t="shared" si="33"/>
        <v>453.7573965418876</v>
      </c>
      <c r="O113" s="6">
        <f t="shared" si="33"/>
        <v>2.4397134894636476</v>
      </c>
      <c r="P113" s="6">
        <f t="shared" si="33"/>
        <v>2583.3320864339889</v>
      </c>
    </row>
    <row r="114" spans="3:16" outlineLevel="1" x14ac:dyDescent="0.25">
      <c r="D114" t="s">
        <v>22</v>
      </c>
      <c r="E114" t="s">
        <v>44</v>
      </c>
      <c r="F114" s="161" t="str">
        <f>D114&amp;E114</f>
        <v>SCADA/Network controlReplacement</v>
      </c>
      <c r="K114" s="6">
        <f t="shared" si="33"/>
        <v>0</v>
      </c>
      <c r="L114" s="6">
        <f t="shared" si="33"/>
        <v>0</v>
      </c>
      <c r="M114" s="6">
        <f t="shared" si="33"/>
        <v>0</v>
      </c>
      <c r="N114" s="6">
        <f t="shared" si="33"/>
        <v>0</v>
      </c>
      <c r="O114" s="6">
        <f t="shared" si="33"/>
        <v>0</v>
      </c>
      <c r="P114" s="6">
        <f t="shared" si="33"/>
        <v>0</v>
      </c>
    </row>
    <row r="115" spans="3:16" outlineLevel="1" x14ac:dyDescent="0.25">
      <c r="D115" t="s">
        <v>211</v>
      </c>
      <c r="E115" t="s">
        <v>83</v>
      </c>
      <c r="F115" s="161" t="str">
        <f>D115&amp;E115</f>
        <v>LandNon-Network</v>
      </c>
      <c r="K115" s="39">
        <f t="shared" si="33"/>
        <v>0</v>
      </c>
      <c r="L115" s="39">
        <f t="shared" si="33"/>
        <v>0</v>
      </c>
      <c r="M115" s="39">
        <f t="shared" si="33"/>
        <v>0</v>
      </c>
      <c r="N115" s="39">
        <f t="shared" si="33"/>
        <v>0</v>
      </c>
      <c r="O115" s="39">
        <f t="shared" si="33"/>
        <v>0</v>
      </c>
      <c r="P115" s="39">
        <f t="shared" si="33"/>
        <v>0</v>
      </c>
    </row>
    <row r="116" spans="3:16" outlineLevel="1" x14ac:dyDescent="0.25">
      <c r="F116" s="161"/>
      <c r="K116" s="6">
        <f t="shared" ref="K116:P116" si="34">SUM(K111:K115)</f>
        <v>3067.5245230349246</v>
      </c>
      <c r="L116" s="6">
        <f t="shared" si="34"/>
        <v>1026.1515174187252</v>
      </c>
      <c r="M116" s="6">
        <f t="shared" si="34"/>
        <v>1132.0353982300883</v>
      </c>
      <c r="N116" s="6">
        <f t="shared" si="34"/>
        <v>2672.8879815215705</v>
      </c>
      <c r="O116" s="6">
        <f t="shared" si="34"/>
        <v>158.59833649831319</v>
      </c>
      <c r="P116" s="6">
        <f t="shared" si="34"/>
        <v>8057.1977567036229</v>
      </c>
    </row>
    <row r="117" spans="3:16" outlineLevel="1" x14ac:dyDescent="0.25">
      <c r="F117" s="161"/>
      <c r="K117" s="5">
        <f t="shared" ref="K117:P117" si="35">K59-K116</f>
        <v>0</v>
      </c>
      <c r="L117" s="5">
        <f t="shared" si="35"/>
        <v>0</v>
      </c>
      <c r="M117" s="5">
        <f t="shared" si="35"/>
        <v>0</v>
      </c>
      <c r="N117" s="5">
        <f t="shared" si="35"/>
        <v>0</v>
      </c>
      <c r="O117" s="5">
        <f t="shared" si="35"/>
        <v>0</v>
      </c>
      <c r="P117" s="5">
        <f t="shared" si="35"/>
        <v>0</v>
      </c>
    </row>
    <row r="118" spans="3:16" outlineLevel="1" x14ac:dyDescent="0.25">
      <c r="C118" t="s">
        <v>17</v>
      </c>
      <c r="D118" t="s">
        <v>19</v>
      </c>
      <c r="E118" t="s">
        <v>42</v>
      </c>
      <c r="F118" s="161" t="str">
        <f>D118&amp;E118</f>
        <v>Distribution system assetsAugmentation</v>
      </c>
      <c r="K118" s="6">
        <v>469.94396850503603</v>
      </c>
      <c r="L118" s="6">
        <v>156.95934387267633</v>
      </c>
      <c r="M118" s="6">
        <v>93.940052825517029</v>
      </c>
      <c r="N118" s="6">
        <v>973.13129478808719</v>
      </c>
      <c r="O118" s="6">
        <v>75.213490061362577</v>
      </c>
      <c r="P118" s="6">
        <f t="shared" si="29"/>
        <v>1769.188150052679</v>
      </c>
    </row>
    <row r="119" spans="3:16" outlineLevel="1" x14ac:dyDescent="0.25">
      <c r="D119" t="s">
        <v>19</v>
      </c>
      <c r="E119" t="s">
        <v>44</v>
      </c>
      <c r="F119" s="161" t="str">
        <f>D119&amp;E119</f>
        <v>Distribution system assetsReplacement</v>
      </c>
      <c r="K119" s="39">
        <v>0</v>
      </c>
      <c r="L119" s="39">
        <v>2.0445374233676379</v>
      </c>
      <c r="M119" s="39">
        <v>0</v>
      </c>
      <c r="N119" s="39">
        <v>45.77779826976743</v>
      </c>
      <c r="O119" s="39">
        <v>0</v>
      </c>
      <c r="P119" s="39">
        <f t="shared" si="29"/>
        <v>47.822335693135066</v>
      </c>
    </row>
    <row r="120" spans="3:16" outlineLevel="1" x14ac:dyDescent="0.25">
      <c r="K120" s="14">
        <f t="shared" ref="K120:P120" si="36">SUM(K118:K119)</f>
        <v>469.94396850503603</v>
      </c>
      <c r="L120" s="14">
        <f t="shared" si="36"/>
        <v>159.00388129604397</v>
      </c>
      <c r="M120" s="14">
        <f t="shared" si="36"/>
        <v>93.940052825517029</v>
      </c>
      <c r="N120" s="14">
        <f t="shared" si="36"/>
        <v>1018.9090930578546</v>
      </c>
      <c r="O120" s="14">
        <f t="shared" si="36"/>
        <v>75.213490061362577</v>
      </c>
      <c r="P120" s="14">
        <f t="shared" si="36"/>
        <v>1817.0104857458141</v>
      </c>
    </row>
    <row r="121" spans="3:16" outlineLevel="1" x14ac:dyDescent="0.25">
      <c r="K121" s="19">
        <f t="shared" ref="K121:P121" si="37">K120-K74</f>
        <v>0</v>
      </c>
      <c r="L121" s="19">
        <f t="shared" si="37"/>
        <v>0</v>
      </c>
      <c r="M121" s="19">
        <f t="shared" si="37"/>
        <v>0</v>
      </c>
      <c r="N121" s="19">
        <f t="shared" si="37"/>
        <v>0</v>
      </c>
      <c r="O121" s="19">
        <f t="shared" si="37"/>
        <v>0</v>
      </c>
      <c r="P121" s="19">
        <f t="shared" si="37"/>
        <v>0</v>
      </c>
    </row>
  </sheetData>
  <mergeCells count="3">
    <mergeCell ref="G3:I3"/>
    <mergeCell ref="K3:P3"/>
    <mergeCell ref="R3:X3"/>
  </mergeCells>
  <pageMargins left="0.25" right="0.25" top="0.75" bottom="0.75" header="0.3" footer="0.3"/>
  <pageSetup paperSize="9" scale="73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B1:AI124"/>
  <sheetViews>
    <sheetView zoomScale="85" zoomScaleNormal="85" workbookViewId="0">
      <pane xSplit="3" ySplit="4" topLeftCell="G5" activePane="bottomRight" state="frozen"/>
      <selection activeCell="G18" sqref="G18"/>
      <selection pane="topRight" activeCell="G18" sqref="G18"/>
      <selection pane="bottomLeft" activeCell="G18" sqref="G18"/>
      <selection pane="bottomRight" activeCell="AF65" sqref="AF65"/>
    </sheetView>
  </sheetViews>
  <sheetFormatPr defaultRowHeight="15" outlineLevelRow="1" outlineLevelCol="1" x14ac:dyDescent="0.25"/>
  <cols>
    <col min="1" max="1" width="2.28515625" customWidth="1"/>
    <col min="2" max="2" width="3" customWidth="1"/>
    <col min="3" max="3" width="52" customWidth="1"/>
    <col min="4" max="5" width="21.28515625" hidden="1" customWidth="1" outlineLevel="1"/>
    <col min="6" max="6" width="32.85546875" hidden="1" customWidth="1" outlineLevel="1"/>
    <col min="7" max="7" width="9.28515625" customWidth="1" collapsed="1"/>
    <col min="8" max="8" width="8.7109375" customWidth="1"/>
    <col min="9" max="9" width="10.7109375" customWidth="1"/>
    <col min="10" max="10" width="2.28515625" customWidth="1"/>
    <col min="11" max="11" width="10.5703125" customWidth="1"/>
    <col min="12" max="12" width="9.42578125" bestFit="1" customWidth="1"/>
    <col min="13" max="13" width="9.42578125" customWidth="1"/>
    <col min="14" max="14" width="12.28515625" customWidth="1"/>
    <col min="15" max="15" width="9.140625" bestFit="1" customWidth="1"/>
    <col min="16" max="16" width="10.28515625" customWidth="1"/>
    <col min="17" max="17" width="10" bestFit="1" customWidth="1"/>
    <col min="18" max="18" width="9.28515625" bestFit="1" customWidth="1"/>
    <col min="19" max="19" width="10.28515625" customWidth="1"/>
    <col min="20" max="20" width="9.5703125" bestFit="1" customWidth="1"/>
    <col min="26" max="35" width="8.85546875" customWidth="1" outlineLevel="1"/>
    <col min="36" max="36" width="8.85546875"/>
  </cols>
  <sheetData>
    <row r="1" spans="2:33" x14ac:dyDescent="0.25">
      <c r="N1" s="745" t="s">
        <v>432</v>
      </c>
      <c r="Q1" s="11"/>
    </row>
    <row r="2" spans="2:33" x14ac:dyDescent="0.25">
      <c r="B2" s="22" t="str">
        <f>STN_5&amp;" Volumes &amp; Unit Rates"</f>
        <v>SLE Volumes &amp; Unit Rates</v>
      </c>
      <c r="R2" s="166"/>
      <c r="S2" s="166"/>
      <c r="T2" s="166"/>
      <c r="U2" s="166"/>
      <c r="V2" s="166"/>
      <c r="W2" s="166"/>
      <c r="X2" s="166"/>
    </row>
    <row r="3" spans="2:33" x14ac:dyDescent="0.25">
      <c r="B3" t="str">
        <f>STN_5</f>
        <v>SLE</v>
      </c>
      <c r="G3" s="771" t="s">
        <v>151</v>
      </c>
      <c r="H3" s="772"/>
      <c r="I3" s="773"/>
      <c r="K3" s="771" t="s">
        <v>604</v>
      </c>
      <c r="L3" s="772"/>
      <c r="M3" s="772"/>
      <c r="N3" s="772"/>
      <c r="O3" s="772"/>
      <c r="P3" s="773"/>
      <c r="R3" s="771" t="s">
        <v>363</v>
      </c>
      <c r="S3" s="772"/>
      <c r="T3" s="772"/>
      <c r="U3" s="772"/>
      <c r="V3" s="772"/>
      <c r="W3" s="772"/>
      <c r="X3" s="773"/>
    </row>
    <row r="4" spans="2:33" ht="45" customHeight="1" x14ac:dyDescent="0.25">
      <c r="D4" t="s">
        <v>373</v>
      </c>
      <c r="E4" t="s">
        <v>101</v>
      </c>
      <c r="G4" s="209" t="s">
        <v>605</v>
      </c>
      <c r="H4" s="218" t="s">
        <v>281</v>
      </c>
      <c r="I4" s="208" t="s">
        <v>309</v>
      </c>
      <c r="K4" s="208" t="s">
        <v>151</v>
      </c>
      <c r="L4" s="208" t="s">
        <v>306</v>
      </c>
      <c r="M4" s="282" t="s">
        <v>152</v>
      </c>
      <c r="N4" s="209" t="s">
        <v>153</v>
      </c>
      <c r="O4" s="208" t="s">
        <v>77</v>
      </c>
      <c r="P4" s="208" t="s">
        <v>307</v>
      </c>
      <c r="Q4" s="254" t="s">
        <v>130</v>
      </c>
      <c r="R4" s="284" t="s">
        <v>301</v>
      </c>
      <c r="S4" s="284" t="s">
        <v>305</v>
      </c>
      <c r="T4" s="284" t="s">
        <v>272</v>
      </c>
      <c r="U4" s="284" t="s">
        <v>302</v>
      </c>
      <c r="V4" s="284" t="s">
        <v>303</v>
      </c>
      <c r="W4" s="284" t="s">
        <v>304</v>
      </c>
      <c r="X4" s="284" t="s">
        <v>357</v>
      </c>
      <c r="Y4" s="435" t="s">
        <v>471</v>
      </c>
    </row>
    <row r="5" spans="2:33" x14ac:dyDescent="0.25">
      <c r="B5" s="236" t="s">
        <v>330</v>
      </c>
      <c r="C5" s="279"/>
      <c r="D5" s="279"/>
      <c r="E5" s="279"/>
      <c r="F5" s="279"/>
      <c r="G5" s="209"/>
      <c r="H5" s="280"/>
      <c r="I5" s="281"/>
      <c r="J5" s="279"/>
      <c r="K5" s="281"/>
      <c r="L5" s="281"/>
      <c r="M5" s="281"/>
      <c r="N5" s="282"/>
      <c r="O5" s="281"/>
      <c r="P5" s="281"/>
      <c r="R5" s="308">
        <f>Lab_Rates!$C$6*Escalators!C7*(1+Escalators!C17)</f>
        <v>158.45839054425579</v>
      </c>
      <c r="S5" s="308">
        <f>Lab_Rates!$C$7*Escalators!C7*(1+Escalators!C17)</f>
        <v>148.03349642950209</v>
      </c>
      <c r="T5" s="308">
        <f>Lab_Rates!$C$8*Escalators!C7*(1+Escalators!C17)</f>
        <v>172.01075289343555</v>
      </c>
      <c r="U5" s="308">
        <f>Lab_Rates!$C$9*Escalators!C7*(1+Escalators!C17)</f>
        <v>224.1352234672039</v>
      </c>
      <c r="V5" s="308">
        <f>Lab_Rates!$C$6*Escalators!C7*(1+Escalators!C17)</f>
        <v>158.45839054425579</v>
      </c>
      <c r="W5" s="308">
        <f>Lab_Rates!$C$10*Escalators!C7*(1+Escalators!C17)</f>
        <v>158.45839054425579</v>
      </c>
      <c r="X5" s="308">
        <f>Lab_Rates!$C$5*Escalators!C7*(1+Escalators!C17)</f>
        <v>130.31117643442087</v>
      </c>
    </row>
    <row r="6" spans="2:33" x14ac:dyDescent="0.25">
      <c r="B6" s="239"/>
      <c r="C6" s="161"/>
      <c r="D6" s="161"/>
      <c r="E6" s="161"/>
      <c r="F6" s="161"/>
      <c r="G6" s="259"/>
      <c r="H6" s="219"/>
      <c r="I6" s="252"/>
      <c r="K6" s="259"/>
      <c r="L6" s="259"/>
      <c r="M6" s="259"/>
      <c r="N6" s="210"/>
      <c r="O6" s="259"/>
      <c r="P6" s="211"/>
      <c r="R6" s="309"/>
      <c r="S6" s="309"/>
      <c r="T6" s="309"/>
      <c r="U6" s="309"/>
      <c r="V6" s="309"/>
      <c r="W6" s="309"/>
      <c r="X6" s="309"/>
    </row>
    <row r="7" spans="2:33" x14ac:dyDescent="0.25">
      <c r="B7" s="220" t="s">
        <v>331</v>
      </c>
      <c r="D7" t="s">
        <v>376</v>
      </c>
      <c r="E7" t="s">
        <v>376</v>
      </c>
      <c r="G7" s="292"/>
      <c r="H7" s="297"/>
      <c r="I7" s="298"/>
      <c r="K7" s="292"/>
      <c r="L7" s="259">
        <f>SUMPRODUCT(R$5:X$5,R7:X7)/Thousands</f>
        <v>0</v>
      </c>
      <c r="M7" s="420">
        <v>1037.6991150442475</v>
      </c>
      <c r="N7" s="420"/>
      <c r="O7" s="292"/>
      <c r="P7" s="211">
        <f>SUM(K7:O7)</f>
        <v>1037.6991150442475</v>
      </c>
      <c r="Q7" s="19"/>
      <c r="R7" s="310">
        <v>0</v>
      </c>
      <c r="S7" s="311"/>
      <c r="T7" s="311"/>
      <c r="U7" s="311"/>
      <c r="V7" s="311"/>
      <c r="W7" s="311"/>
      <c r="X7" s="311"/>
    </row>
    <row r="8" spans="2:33" x14ac:dyDescent="0.25">
      <c r="B8" s="222"/>
      <c r="C8" s="43"/>
      <c r="D8" s="43"/>
      <c r="E8" s="43"/>
      <c r="F8" s="43"/>
      <c r="G8" s="229"/>
      <c r="H8" s="272"/>
      <c r="I8" s="251"/>
      <c r="K8" s="229"/>
      <c r="L8" s="229"/>
      <c r="M8" s="229"/>
      <c r="N8" s="293"/>
      <c r="O8" s="293"/>
      <c r="P8" s="230"/>
      <c r="R8" s="309"/>
      <c r="S8" s="309"/>
      <c r="T8" s="309"/>
      <c r="U8" s="309"/>
      <c r="V8" s="309"/>
      <c r="W8" s="309"/>
      <c r="X8" s="309"/>
    </row>
    <row r="9" spans="2:33" x14ac:dyDescent="0.25">
      <c r="B9" s="225" t="s">
        <v>285</v>
      </c>
      <c r="C9" s="226"/>
      <c r="D9" s="279"/>
      <c r="E9" s="279"/>
      <c r="F9" s="279"/>
      <c r="G9" s="227"/>
      <c r="H9" s="273"/>
      <c r="I9" s="208"/>
      <c r="K9" s="227"/>
      <c r="L9" s="227"/>
      <c r="M9" s="330"/>
      <c r="N9" s="294"/>
      <c r="O9" s="294"/>
      <c r="P9" s="231"/>
      <c r="R9" s="309"/>
      <c r="S9" s="309"/>
      <c r="T9" s="309"/>
      <c r="U9" s="309"/>
      <c r="V9" s="309"/>
      <c r="W9" s="309"/>
      <c r="X9" s="309"/>
    </row>
    <row r="10" spans="2:33" x14ac:dyDescent="0.25">
      <c r="B10" s="220"/>
      <c r="C10" s="161" t="s">
        <v>286</v>
      </c>
      <c r="D10" s="161" t="s">
        <v>376</v>
      </c>
      <c r="E10" s="161" t="s">
        <v>376</v>
      </c>
      <c r="F10" s="161"/>
      <c r="G10" s="292"/>
      <c r="H10" s="297"/>
      <c r="I10" s="298"/>
      <c r="K10" s="291"/>
      <c r="L10" s="213">
        <f>SUMPRODUCT(R$5:X$5,R10:X10)/Thousands</f>
        <v>74.575522539301843</v>
      </c>
      <c r="M10" s="290"/>
      <c r="N10" s="290">
        <v>0</v>
      </c>
      <c r="O10" s="291"/>
      <c r="P10" s="211">
        <f>SUM(K10:O10)</f>
        <v>74.575522539301843</v>
      </c>
      <c r="Q10" s="19"/>
      <c r="R10" s="310">
        <v>412.05263157894734</v>
      </c>
      <c r="S10" s="310">
        <v>32</v>
      </c>
      <c r="T10" s="310">
        <v>16</v>
      </c>
      <c r="U10" s="310">
        <v>8</v>
      </c>
      <c r="V10" s="310"/>
      <c r="W10" s="310"/>
      <c r="X10" s="310"/>
      <c r="Y10" s="14">
        <f>SUM(R10:X10)</f>
        <v>468.05263157894734</v>
      </c>
      <c r="AA10" s="15"/>
      <c r="AB10" s="15"/>
      <c r="AC10" s="15"/>
      <c r="AD10" s="15"/>
      <c r="AE10" s="15"/>
      <c r="AF10" s="15"/>
      <c r="AG10" s="15"/>
    </row>
    <row r="11" spans="2:33" x14ac:dyDescent="0.25">
      <c r="B11" s="220"/>
      <c r="C11" s="161" t="s">
        <v>287</v>
      </c>
      <c r="D11" s="161" t="s">
        <v>376</v>
      </c>
      <c r="E11" s="161" t="s">
        <v>376</v>
      </c>
      <c r="F11" s="161"/>
      <c r="G11" s="292"/>
      <c r="H11" s="297"/>
      <c r="I11" s="298"/>
      <c r="K11" s="291"/>
      <c r="L11" s="213">
        <f>SUMPRODUCT(R$5:X$5,R11:X11)/Thousands</f>
        <v>463.16970560321374</v>
      </c>
      <c r="M11" s="290"/>
      <c r="N11" s="420">
        <v>0</v>
      </c>
      <c r="O11" s="291"/>
      <c r="P11" s="211">
        <f>SUM(K11:O11)</f>
        <v>463.16970560321374</v>
      </c>
      <c r="Q11" s="19"/>
      <c r="R11" s="310">
        <v>252.31578947368422</v>
      </c>
      <c r="S11" s="310"/>
      <c r="T11" s="310">
        <v>811.5151515151515</v>
      </c>
      <c r="U11" s="310">
        <v>96</v>
      </c>
      <c r="V11" s="310">
        <v>501.94736842105266</v>
      </c>
      <c r="W11" s="310">
        <v>1152</v>
      </c>
      <c r="X11" s="310"/>
      <c r="Y11" s="14">
        <f>SUM(R11:X11)</f>
        <v>2813.7783094098886</v>
      </c>
      <c r="AA11" s="15"/>
      <c r="AB11" s="15"/>
      <c r="AC11" s="15"/>
      <c r="AD11" s="15"/>
      <c r="AE11" s="15"/>
      <c r="AF11" s="15"/>
      <c r="AG11" s="15"/>
    </row>
    <row r="12" spans="2:33" x14ac:dyDescent="0.25">
      <c r="B12" s="220"/>
      <c r="C12" s="161" t="s">
        <v>320</v>
      </c>
      <c r="D12" s="161" t="s">
        <v>376</v>
      </c>
      <c r="E12" s="161" t="s">
        <v>376</v>
      </c>
      <c r="F12" s="161"/>
      <c r="G12" s="292"/>
      <c r="H12" s="297"/>
      <c r="I12" s="298"/>
      <c r="K12" s="291"/>
      <c r="L12" s="213">
        <f>SUMPRODUCT(R$5:X$5,R12:X12)/Thousands</f>
        <v>326.50768367408494</v>
      </c>
      <c r="M12" s="290"/>
      <c r="N12" s="290">
        <v>0</v>
      </c>
      <c r="O12" s="291"/>
      <c r="P12" s="211">
        <f>SUM(K12:O12)</f>
        <v>326.50768367408494</v>
      </c>
      <c r="Q12" s="19"/>
      <c r="R12" s="310"/>
      <c r="S12" s="310"/>
      <c r="T12" s="310">
        <v>246.76363636363635</v>
      </c>
      <c r="U12" s="310"/>
      <c r="V12" s="310">
        <v>535.73684210526312</v>
      </c>
      <c r="W12" s="310">
        <v>164.84210526315789</v>
      </c>
      <c r="X12" s="310">
        <v>1327.9680000000001</v>
      </c>
      <c r="Y12" s="14">
        <f>SUM(R12:X12)</f>
        <v>2275.3105837320572</v>
      </c>
      <c r="AA12" s="15"/>
      <c r="AB12" s="15"/>
      <c r="AC12" s="15"/>
      <c r="AD12" s="15"/>
      <c r="AE12" s="15"/>
      <c r="AF12" s="15"/>
      <c r="AG12" s="15"/>
    </row>
    <row r="13" spans="2:33" x14ac:dyDescent="0.25">
      <c r="B13" s="220"/>
      <c r="C13" s="161" t="s">
        <v>288</v>
      </c>
      <c r="D13" s="161" t="s">
        <v>376</v>
      </c>
      <c r="E13" s="161" t="s">
        <v>376</v>
      </c>
      <c r="F13" s="161"/>
      <c r="G13" s="292"/>
      <c r="H13" s="297"/>
      <c r="I13" s="298"/>
      <c r="K13" s="291"/>
      <c r="L13" s="213">
        <f>SUMPRODUCT(R$5:X$5,R13:X13)/Thousands</f>
        <v>130.31117643442087</v>
      </c>
      <c r="M13" s="290"/>
      <c r="N13" s="290">
        <v>0</v>
      </c>
      <c r="O13" s="291"/>
      <c r="P13" s="211">
        <f>SUM(K13:O13)</f>
        <v>130.31117643442087</v>
      </c>
      <c r="Q13" s="19"/>
      <c r="R13" s="310">
        <v>0</v>
      </c>
      <c r="S13" s="310">
        <v>0</v>
      </c>
      <c r="T13" s="310">
        <v>757.57575757575762</v>
      </c>
      <c r="U13" s="310">
        <v>0</v>
      </c>
      <c r="V13" s="310">
        <v>0</v>
      </c>
      <c r="W13" s="310">
        <v>0</v>
      </c>
      <c r="X13" s="310">
        <v>0</v>
      </c>
      <c r="Y13" s="14">
        <f>SUM(R13:X13)</f>
        <v>757.57575757575762</v>
      </c>
      <c r="AA13" s="15"/>
      <c r="AB13" s="15"/>
      <c r="AC13" s="15"/>
      <c r="AD13" s="15"/>
      <c r="AE13" s="15"/>
      <c r="AF13" s="15"/>
      <c r="AG13" s="15"/>
    </row>
    <row r="14" spans="2:33" x14ac:dyDescent="0.25">
      <c r="B14" s="222"/>
      <c r="C14" s="43"/>
      <c r="D14" s="43"/>
      <c r="E14" s="43"/>
      <c r="F14" s="43"/>
      <c r="G14" s="229"/>
      <c r="H14" s="228"/>
      <c r="I14" s="251"/>
      <c r="K14" s="232"/>
      <c r="L14" s="233"/>
      <c r="M14" s="233"/>
      <c r="N14" s="234"/>
      <c r="O14" s="232"/>
      <c r="P14" s="235"/>
      <c r="R14" s="309"/>
      <c r="S14" s="309"/>
      <c r="T14" s="309"/>
      <c r="U14" s="309"/>
      <c r="V14" s="309"/>
      <c r="W14" s="309"/>
      <c r="X14" s="309"/>
    </row>
    <row r="15" spans="2:33" x14ac:dyDescent="0.25">
      <c r="B15" s="225" t="s">
        <v>277</v>
      </c>
      <c r="C15" s="226"/>
      <c r="D15" s="279"/>
      <c r="E15" s="279"/>
      <c r="F15" s="279"/>
      <c r="G15" s="283"/>
      <c r="H15" s="236"/>
      <c r="I15" s="231"/>
      <c r="K15" s="237"/>
      <c r="L15" s="237"/>
      <c r="M15" s="331"/>
      <c r="N15" s="237"/>
      <c r="O15" s="237"/>
      <c r="P15" s="238"/>
      <c r="Q15" s="11"/>
      <c r="R15" s="312"/>
      <c r="S15" s="309"/>
      <c r="T15" s="309"/>
      <c r="U15" s="309"/>
      <c r="V15" s="309"/>
      <c r="W15" s="309"/>
      <c r="X15" s="309"/>
      <c r="AA15" s="28"/>
      <c r="AB15" s="28"/>
      <c r="AC15" s="28"/>
      <c r="AD15" s="28"/>
      <c r="AE15" s="28"/>
      <c r="AF15" s="28"/>
      <c r="AG15" s="28"/>
    </row>
    <row r="16" spans="2:33" x14ac:dyDescent="0.25">
      <c r="B16" s="239" t="s">
        <v>279</v>
      </c>
      <c r="C16" s="161"/>
      <c r="D16" s="161"/>
      <c r="E16" s="161"/>
      <c r="F16" s="161"/>
      <c r="G16" s="216"/>
      <c r="H16" s="220"/>
      <c r="I16" s="212"/>
      <c r="J16" s="147"/>
      <c r="K16" s="213"/>
      <c r="L16" s="213"/>
      <c r="M16" s="213"/>
      <c r="N16" s="213"/>
      <c r="O16" s="213"/>
      <c r="P16" s="212"/>
      <c r="R16" s="309"/>
      <c r="S16" s="309"/>
      <c r="T16" s="309"/>
      <c r="U16" s="309"/>
      <c r="V16" s="309"/>
      <c r="W16" s="309"/>
      <c r="X16" s="309"/>
      <c r="AA16" s="28"/>
      <c r="AB16" s="28"/>
      <c r="AC16" s="28"/>
      <c r="AD16" s="28"/>
      <c r="AE16" s="28"/>
      <c r="AF16" s="28"/>
      <c r="AG16" s="28"/>
    </row>
    <row r="17" spans="2:33" x14ac:dyDescent="0.25">
      <c r="B17" s="220"/>
      <c r="C17" s="224" t="s">
        <v>322</v>
      </c>
      <c r="D17" s="161" t="str">
        <f>INDEX(Unit_Rates!$C$7:$K$59,MATCH($C17,Unit_Rates!$C$7:$C$59,0),5)</f>
        <v>Subtransmission</v>
      </c>
      <c r="E17" s="161" t="str">
        <f>INDEX(Unit_Rates!$C$7:$K$59,MATCH($C17,Unit_Rates!$C$7:$C$59,0),6)</f>
        <v>Augmentation</v>
      </c>
      <c r="F17" s="161" t="str">
        <f>D17&amp;E17</f>
        <v>SubtransmissionAugmentation</v>
      </c>
      <c r="G17" s="256">
        <f>INDEX(Unit_Rates!$C$7:$K$59,MATCH($C17,Unit_Rates!$C$7:$C$59,0),7)</f>
        <v>68.506065486725646</v>
      </c>
      <c r="H17" s="518">
        <v>2</v>
      </c>
      <c r="I17" s="252" t="s">
        <v>308</v>
      </c>
      <c r="J17" s="147"/>
      <c r="K17" s="214">
        <f>G17*$H17</f>
        <v>137.01213097345129</v>
      </c>
      <c r="L17" s="286">
        <f t="shared" ref="L17:L42" si="0">SUMPRODUCT(R$5:X$5,R17:X17)/Thousands</f>
        <v>0</v>
      </c>
      <c r="M17" s="332"/>
      <c r="N17" s="751"/>
      <c r="O17" s="754"/>
      <c r="P17" s="750"/>
      <c r="Q17" s="317"/>
      <c r="R17" s="310">
        <v>0</v>
      </c>
      <c r="S17" s="310">
        <v>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14">
        <f t="shared" ref="Y17:Y42" si="1">SUM(R17:X17)</f>
        <v>0</v>
      </c>
      <c r="AA17" s="28"/>
      <c r="AB17" s="28"/>
      <c r="AC17" s="28"/>
      <c r="AD17" s="28"/>
      <c r="AE17" s="28"/>
      <c r="AF17" s="28"/>
      <c r="AG17" s="28"/>
    </row>
    <row r="18" spans="2:33" x14ac:dyDescent="0.25">
      <c r="B18" s="220"/>
      <c r="C18" s="224" t="s">
        <v>345</v>
      </c>
      <c r="D18" s="161" t="str">
        <f>INDEX(Unit_Rates!$C$7:$K$59,MATCH($C18,Unit_Rates!$C$7:$C$59,0),5)</f>
        <v>Subtransmission</v>
      </c>
      <c r="E18" s="161" t="str">
        <f>INDEX(Unit_Rates!$C$7:$K$59,MATCH($C18,Unit_Rates!$C$7:$C$59,0),6)</f>
        <v>Augmentation</v>
      </c>
      <c r="F18" s="161" t="str">
        <f t="shared" ref="F18:F42" si="2">D18&amp;E18</f>
        <v>SubtransmissionAugmentation</v>
      </c>
      <c r="G18" s="256">
        <f>INDEX(Unit_Rates!$C$7:$K$59,MATCH($C18,Unit_Rates!$C$7:$C$59,0),7)</f>
        <v>106.43774159292033</v>
      </c>
      <c r="H18" s="518"/>
      <c r="I18" s="252" t="s">
        <v>308</v>
      </c>
      <c r="J18" s="147"/>
      <c r="K18" s="214">
        <f>G18*$H18</f>
        <v>0</v>
      </c>
      <c r="L18" s="286">
        <f t="shared" si="0"/>
        <v>0</v>
      </c>
      <c r="M18" s="332"/>
      <c r="N18" s="751"/>
      <c r="O18" s="754"/>
      <c r="P18" s="750"/>
      <c r="Q18" s="317"/>
      <c r="R18" s="310">
        <v>0</v>
      </c>
      <c r="S18" s="310">
        <v>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14">
        <f t="shared" si="1"/>
        <v>0</v>
      </c>
      <c r="AA18" s="28"/>
      <c r="AB18" s="28"/>
      <c r="AC18" s="28"/>
      <c r="AD18" s="28"/>
      <c r="AE18" s="28"/>
      <c r="AF18" s="28"/>
      <c r="AG18" s="28"/>
    </row>
    <row r="19" spans="2:33" x14ac:dyDescent="0.25">
      <c r="B19" s="220"/>
      <c r="C19" s="224" t="s">
        <v>486</v>
      </c>
      <c r="D19" s="161" t="str">
        <f>INDEX(Unit_Rates!$C$7:$K$59,MATCH($C19,Unit_Rates!$C$7:$C$59,0),5)</f>
        <v>Subtransmission</v>
      </c>
      <c r="E19" s="161" t="str">
        <f>INDEX(Unit_Rates!$C$7:$K$59,MATCH($C19,Unit_Rates!$C$7:$C$59,0),6)</f>
        <v>Augmentation</v>
      </c>
      <c r="F19" s="161" t="str">
        <f t="shared" si="2"/>
        <v>SubtransmissionAugmentation</v>
      </c>
      <c r="G19" s="256">
        <f>INDEX(Unit_Rates!$C$7:$K$59,MATCH($C19,Unit_Rates!$C$7:$C$59,0),7)</f>
        <v>37.069442477876102</v>
      </c>
      <c r="H19" s="518">
        <v>1</v>
      </c>
      <c r="I19" s="252" t="s">
        <v>308</v>
      </c>
      <c r="J19" s="147"/>
      <c r="K19" s="214">
        <f>G19*H19</f>
        <v>37.069442477876102</v>
      </c>
      <c r="L19" s="286">
        <f t="shared" si="0"/>
        <v>0</v>
      </c>
      <c r="M19" s="332"/>
      <c r="N19" s="751"/>
      <c r="O19" s="754"/>
      <c r="P19" s="750"/>
      <c r="Q19" s="317"/>
      <c r="R19" s="310">
        <v>0</v>
      </c>
      <c r="S19" s="310">
        <v>0</v>
      </c>
      <c r="T19" s="310">
        <v>0</v>
      </c>
      <c r="U19" s="310">
        <v>0</v>
      </c>
      <c r="V19" s="310">
        <v>0</v>
      </c>
      <c r="W19" s="310">
        <v>0</v>
      </c>
      <c r="X19" s="310">
        <v>0</v>
      </c>
      <c r="Y19" s="14">
        <f t="shared" si="1"/>
        <v>0</v>
      </c>
    </row>
    <row r="20" spans="2:33" x14ac:dyDescent="0.25">
      <c r="B20" s="220"/>
      <c r="C20" s="224" t="s">
        <v>487</v>
      </c>
      <c r="D20" s="161" t="str">
        <f>INDEX(Unit_Rates!$C$7:$K$59,MATCH($C20,Unit_Rates!$C$7:$C$59,0),5)</f>
        <v>Subtransmission</v>
      </c>
      <c r="E20" s="161" t="str">
        <f>INDEX(Unit_Rates!$C$7:$K$59,MATCH($C20,Unit_Rates!$C$7:$C$59,0),6)</f>
        <v>Augmentation</v>
      </c>
      <c r="F20" s="161" t="str">
        <f t="shared" si="2"/>
        <v>SubtransmissionAugmentation</v>
      </c>
      <c r="G20" s="256">
        <f>INDEX(Unit_Rates!$C$7:$K$59,MATCH($C20,Unit_Rates!$C$7:$C$59,0),7)</f>
        <v>40.541017699115038</v>
      </c>
      <c r="H20" s="518">
        <v>1</v>
      </c>
      <c r="I20" s="252" t="s">
        <v>308</v>
      </c>
      <c r="J20" s="147"/>
      <c r="K20" s="214">
        <f>G20*H20</f>
        <v>40.541017699115038</v>
      </c>
      <c r="L20" s="286">
        <f t="shared" si="0"/>
        <v>0</v>
      </c>
      <c r="M20" s="332"/>
      <c r="N20" s="751"/>
      <c r="O20" s="754"/>
      <c r="P20" s="750"/>
      <c r="Q20" s="317"/>
      <c r="R20" s="310">
        <v>0</v>
      </c>
      <c r="S20" s="310">
        <v>0</v>
      </c>
      <c r="T20" s="310">
        <v>0</v>
      </c>
      <c r="U20" s="310">
        <v>0</v>
      </c>
      <c r="V20" s="310">
        <v>0</v>
      </c>
      <c r="W20" s="310">
        <v>0</v>
      </c>
      <c r="X20" s="310">
        <v>0</v>
      </c>
      <c r="Y20" s="14">
        <f t="shared" si="1"/>
        <v>0</v>
      </c>
      <c r="AA20" s="28"/>
      <c r="AB20" s="28"/>
      <c r="AC20" s="28"/>
      <c r="AD20" s="28"/>
      <c r="AE20" s="28"/>
      <c r="AF20" s="28"/>
      <c r="AG20" s="28"/>
    </row>
    <row r="21" spans="2:33" x14ac:dyDescent="0.25">
      <c r="B21" s="220"/>
      <c r="C21" s="224" t="s">
        <v>282</v>
      </c>
      <c r="D21" s="161" t="str">
        <f>INDEX(Unit_Rates!$C$7:$K$59,MATCH($C21,Unit_Rates!$C$7:$C$59,0),5)</f>
        <v>SCADA/Network control</v>
      </c>
      <c r="E21" s="161" t="str">
        <f>INDEX(Unit_Rates!$C$7:$K$59,MATCH($C21,Unit_Rates!$C$7:$C$59,0),6)</f>
        <v>Augmentation</v>
      </c>
      <c r="F21" s="161" t="str">
        <f t="shared" si="2"/>
        <v>SCADA/Network controlAugmentation</v>
      </c>
      <c r="G21" s="256">
        <f>INDEX(Unit_Rates!$C$7:$K$59,MATCH($C21,Unit_Rates!$C$7:$C$59,0),7)</f>
        <v>1092.6971681415926</v>
      </c>
      <c r="H21" s="518">
        <v>1</v>
      </c>
      <c r="I21" s="252" t="s">
        <v>308</v>
      </c>
      <c r="J21" s="147"/>
      <c r="K21" s="214">
        <f>G21*H21</f>
        <v>1092.6971681415926</v>
      </c>
      <c r="L21" s="286">
        <f t="shared" si="0"/>
        <v>0</v>
      </c>
      <c r="M21" s="332"/>
      <c r="N21" s="751"/>
      <c r="O21" s="754"/>
      <c r="P21" s="750"/>
      <c r="Q21" s="317"/>
      <c r="R21" s="310">
        <v>0</v>
      </c>
      <c r="S21" s="310">
        <v>0</v>
      </c>
      <c r="T21" s="310">
        <v>0</v>
      </c>
      <c r="U21" s="310">
        <v>0</v>
      </c>
      <c r="V21" s="310">
        <v>0</v>
      </c>
      <c r="W21" s="310">
        <v>0</v>
      </c>
      <c r="X21" s="310">
        <v>0</v>
      </c>
      <c r="Y21" s="14">
        <f t="shared" si="1"/>
        <v>0</v>
      </c>
      <c r="AA21" s="28"/>
      <c r="AB21" s="28"/>
      <c r="AC21" s="28"/>
      <c r="AD21" s="28"/>
      <c r="AE21" s="28"/>
      <c r="AF21" s="28"/>
      <c r="AG21" s="28"/>
    </row>
    <row r="22" spans="2:33" x14ac:dyDescent="0.25">
      <c r="B22" s="220"/>
      <c r="C22" s="224" t="s">
        <v>324</v>
      </c>
      <c r="D22" s="161" t="str">
        <f>INDEX(Unit_Rates!$C$7:$K$59,MATCH($C22,Unit_Rates!$C$7:$C$59,0),5)</f>
        <v>Subtransmission</v>
      </c>
      <c r="E22" s="161" t="str">
        <f>INDEX(Unit_Rates!$C$7:$K$59,MATCH($C22,Unit_Rates!$C$7:$C$59,0),6)</f>
        <v>Augmentation</v>
      </c>
      <c r="F22" s="161" t="str">
        <f t="shared" si="2"/>
        <v>SubtransmissionAugmentation</v>
      </c>
      <c r="G22" s="256">
        <f>INDEX(Unit_Rates!$C$7:$K$59,MATCH($C22,Unit_Rates!$C$7:$C$59,0),7)</f>
        <v>0</v>
      </c>
      <c r="H22" s="518">
        <v>1</v>
      </c>
      <c r="I22" s="252" t="s">
        <v>308</v>
      </c>
      <c r="J22" s="147"/>
      <c r="K22" s="214">
        <f>G22*H22</f>
        <v>0</v>
      </c>
      <c r="L22" s="286">
        <f t="shared" si="0"/>
        <v>0</v>
      </c>
      <c r="M22" s="332"/>
      <c r="N22" s="751"/>
      <c r="O22" s="754"/>
      <c r="P22" s="750"/>
      <c r="Q22" s="317"/>
      <c r="R22" s="310">
        <v>0</v>
      </c>
      <c r="S22" s="310">
        <v>0</v>
      </c>
      <c r="T22" s="310">
        <v>0</v>
      </c>
      <c r="U22" s="310">
        <v>0</v>
      </c>
      <c r="V22" s="310">
        <v>0</v>
      </c>
      <c r="W22" s="310">
        <v>0</v>
      </c>
      <c r="X22" s="310">
        <v>0</v>
      </c>
      <c r="Y22" s="14">
        <f t="shared" si="1"/>
        <v>0</v>
      </c>
      <c r="AA22" s="28"/>
      <c r="AB22" s="28"/>
      <c r="AC22" s="28"/>
      <c r="AD22" s="28"/>
      <c r="AE22" s="28"/>
      <c r="AF22" s="28"/>
      <c r="AG22" s="28"/>
    </row>
    <row r="23" spans="2:33" x14ac:dyDescent="0.25">
      <c r="B23" s="220"/>
      <c r="C23" s="224" t="s">
        <v>296</v>
      </c>
      <c r="D23" s="161" t="str">
        <f>INDEX(Unit_Rates!$C$7:$K$59,MATCH($C23,Unit_Rates!$C$7:$C$59,0),5)</f>
        <v>Subtransmission</v>
      </c>
      <c r="E23" s="161" t="str">
        <f>INDEX(Unit_Rates!$C$7:$K$59,MATCH($C23,Unit_Rates!$C$7:$C$59,0),6)</f>
        <v>Augmentation</v>
      </c>
      <c r="F23" s="161" t="str">
        <f t="shared" si="2"/>
        <v>SubtransmissionAugmentation</v>
      </c>
      <c r="G23" s="256">
        <f>INDEX(Unit_Rates!$C$7:$K$59,MATCH($C23,Unit_Rates!$C$7:$C$59,0),7)</f>
        <v>1277.3132743362828</v>
      </c>
      <c r="H23" s="518">
        <v>1</v>
      </c>
      <c r="I23" s="252" t="s">
        <v>308</v>
      </c>
      <c r="J23" s="147"/>
      <c r="K23" s="214">
        <f t="shared" ref="K23:K42" si="3">G23*H23</f>
        <v>1277.3132743362828</v>
      </c>
      <c r="L23" s="286">
        <f t="shared" si="0"/>
        <v>0</v>
      </c>
      <c r="M23" s="332"/>
      <c r="N23" s="751"/>
      <c r="O23" s="754"/>
      <c r="P23" s="750"/>
      <c r="Q23" s="317"/>
      <c r="R23" s="310">
        <v>0</v>
      </c>
      <c r="S23" s="310">
        <v>0</v>
      </c>
      <c r="T23" s="310">
        <v>0</v>
      </c>
      <c r="U23" s="310">
        <v>0</v>
      </c>
      <c r="V23" s="310">
        <v>0</v>
      </c>
      <c r="W23" s="310">
        <v>0</v>
      </c>
      <c r="X23" s="310">
        <v>0</v>
      </c>
      <c r="Y23" s="14">
        <f t="shared" si="1"/>
        <v>0</v>
      </c>
      <c r="AA23" s="28"/>
      <c r="AB23" s="28"/>
      <c r="AC23" s="28"/>
      <c r="AD23" s="28"/>
      <c r="AE23" s="28"/>
      <c r="AF23" s="28"/>
      <c r="AG23" s="28"/>
    </row>
    <row r="24" spans="2:33" x14ac:dyDescent="0.25">
      <c r="B24" s="220"/>
      <c r="C24" s="224" t="s">
        <v>295</v>
      </c>
      <c r="D24" s="161" t="str">
        <f>INDEX(Unit_Rates!$C$7:$K$59,MATCH($C24,Unit_Rates!$C$7:$C$59,0),5)</f>
        <v>Subtransmission</v>
      </c>
      <c r="E24" s="161" t="str">
        <f>INDEX(Unit_Rates!$C$7:$K$59,MATCH($C24,Unit_Rates!$C$7:$C$59,0),6)</f>
        <v>Augmentation</v>
      </c>
      <c r="F24" s="161" t="str">
        <f t="shared" si="2"/>
        <v>SubtransmissionAugmentation</v>
      </c>
      <c r="G24" s="256">
        <f>INDEX(Unit_Rates!$C$7:$K$59,MATCH($C24,Unit_Rates!$C$7:$C$59,0),7)</f>
        <v>1378.3627906976742</v>
      </c>
      <c r="H24" s="518"/>
      <c r="I24" s="252" t="s">
        <v>308</v>
      </c>
      <c r="J24" s="147"/>
      <c r="K24" s="214">
        <f t="shared" si="3"/>
        <v>0</v>
      </c>
      <c r="L24" s="286">
        <f t="shared" si="0"/>
        <v>0</v>
      </c>
      <c r="M24" s="332"/>
      <c r="N24" s="751"/>
      <c r="O24" s="754"/>
      <c r="P24" s="750"/>
      <c r="Q24" s="317"/>
      <c r="R24" s="310">
        <v>0</v>
      </c>
      <c r="S24" s="310">
        <v>0</v>
      </c>
      <c r="T24" s="310">
        <v>0</v>
      </c>
      <c r="U24" s="310">
        <v>0</v>
      </c>
      <c r="V24" s="310">
        <v>0</v>
      </c>
      <c r="W24" s="310">
        <v>0</v>
      </c>
      <c r="X24" s="310">
        <v>0</v>
      </c>
      <c r="Y24" s="14">
        <f t="shared" si="1"/>
        <v>0</v>
      </c>
    </row>
    <row r="25" spans="2:33" x14ac:dyDescent="0.25">
      <c r="B25" s="220"/>
      <c r="C25" s="224" t="s">
        <v>501</v>
      </c>
      <c r="D25" s="161" t="str">
        <f>INDEX(Unit_Rates!$C$7:$K$59,MATCH($C25,Unit_Rates!$C$7:$C$59,0),5)</f>
        <v>Subtransmission</v>
      </c>
      <c r="E25" s="161" t="str">
        <f>INDEX(Unit_Rates!$C$7:$K$59,MATCH($C25,Unit_Rates!$C$7:$C$59,0),6)</f>
        <v>Augmentation</v>
      </c>
      <c r="F25" s="161" t="str">
        <f t="shared" si="2"/>
        <v>SubtransmissionAugmentation</v>
      </c>
      <c r="G25" s="256">
        <f>INDEX(Unit_Rates!$C$7:$K$59,MATCH($C25,Unit_Rates!$C$7:$C$59,0),7)</f>
        <v>86.121892093023249</v>
      </c>
      <c r="H25" s="518"/>
      <c r="I25" s="252" t="s">
        <v>308</v>
      </c>
      <c r="J25" s="147"/>
      <c r="K25" s="214">
        <f t="shared" si="3"/>
        <v>0</v>
      </c>
      <c r="L25" s="286">
        <f t="shared" si="0"/>
        <v>0</v>
      </c>
      <c r="M25" s="332"/>
      <c r="N25" s="751"/>
      <c r="O25" s="754"/>
      <c r="P25" s="750"/>
      <c r="Q25" s="317"/>
      <c r="R25" s="310">
        <v>0</v>
      </c>
      <c r="S25" s="310">
        <v>0</v>
      </c>
      <c r="T25" s="310">
        <v>0</v>
      </c>
      <c r="U25" s="310">
        <v>0</v>
      </c>
      <c r="V25" s="310">
        <v>0</v>
      </c>
      <c r="W25" s="310">
        <v>0</v>
      </c>
      <c r="X25" s="310">
        <v>0</v>
      </c>
      <c r="Y25" s="14">
        <f t="shared" si="1"/>
        <v>0</v>
      </c>
    </row>
    <row r="26" spans="2:33" x14ac:dyDescent="0.25">
      <c r="B26" s="220"/>
      <c r="C26" s="224" t="s">
        <v>383</v>
      </c>
      <c r="D26" s="161" t="str">
        <f>INDEX(Unit_Rates!$C$7:$K$59,MATCH($C26,Unit_Rates!$C$7:$C$59,0),5)</f>
        <v>Subtransmission</v>
      </c>
      <c r="E26" s="161" t="str">
        <f>INDEX(Unit_Rates!$C$7:$K$59,MATCH($C26,Unit_Rates!$C$7:$C$59,0),6)</f>
        <v>Augmentation</v>
      </c>
      <c r="F26" s="161" t="str">
        <f t="shared" si="2"/>
        <v>SubtransmissionAugmentation</v>
      </c>
      <c r="G26" s="256">
        <f>INDEX(Unit_Rates!$C$7:$K$59,MATCH($C26,Unit_Rates!$C$7:$C$59,0),7)</f>
        <v>0</v>
      </c>
      <c r="H26" s="518"/>
      <c r="I26" s="252" t="s">
        <v>308</v>
      </c>
      <c r="J26" s="147"/>
      <c r="K26" s="214">
        <f t="shared" si="3"/>
        <v>0</v>
      </c>
      <c r="L26" s="286">
        <f t="shared" si="0"/>
        <v>0</v>
      </c>
      <c r="M26" s="332"/>
      <c r="N26" s="751"/>
      <c r="O26" s="754"/>
      <c r="P26" s="750"/>
      <c r="Q26" s="317"/>
      <c r="R26" s="310">
        <v>0</v>
      </c>
      <c r="S26" s="310">
        <v>0</v>
      </c>
      <c r="T26" s="310">
        <v>0</v>
      </c>
      <c r="U26" s="310">
        <v>0</v>
      </c>
      <c r="V26" s="310">
        <v>0</v>
      </c>
      <c r="W26" s="310">
        <v>0</v>
      </c>
      <c r="X26" s="310">
        <v>0</v>
      </c>
      <c r="Y26" s="14">
        <f t="shared" si="1"/>
        <v>0</v>
      </c>
    </row>
    <row r="27" spans="2:33" x14ac:dyDescent="0.25">
      <c r="B27" s="220"/>
      <c r="C27" s="224" t="s">
        <v>361</v>
      </c>
      <c r="D27" s="161" t="str">
        <f>INDEX(Unit_Rates!$C$7:$K$59,MATCH($C27,Unit_Rates!$C$7:$C$59,0),5)</f>
        <v>Subtransmission</v>
      </c>
      <c r="E27" s="161" t="str">
        <f>INDEX(Unit_Rates!$C$7:$K$59,MATCH($C27,Unit_Rates!$C$7:$C$59,0),6)</f>
        <v>Augmentation</v>
      </c>
      <c r="F27" s="161" t="str">
        <f t="shared" si="2"/>
        <v>SubtransmissionAugmentation</v>
      </c>
      <c r="G27" s="256">
        <f>INDEX(Unit_Rates!$C$7:$K$59,MATCH($C27,Unit_Rates!$C$7:$C$59,0),7)</f>
        <v>100.94548318584069</v>
      </c>
      <c r="H27" s="518"/>
      <c r="I27" s="252" t="s">
        <v>308</v>
      </c>
      <c r="J27" s="147"/>
      <c r="K27" s="214">
        <f t="shared" si="3"/>
        <v>0</v>
      </c>
      <c r="L27" s="286">
        <f t="shared" si="0"/>
        <v>0</v>
      </c>
      <c r="M27" s="332"/>
      <c r="N27" s="751"/>
      <c r="O27" s="754"/>
      <c r="P27" s="750"/>
      <c r="Q27" s="317"/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0</v>
      </c>
      <c r="Y27" s="14">
        <f t="shared" si="1"/>
        <v>0</v>
      </c>
    </row>
    <row r="28" spans="2:33" x14ac:dyDescent="0.25">
      <c r="B28" s="220"/>
      <c r="C28" s="224" t="s">
        <v>348</v>
      </c>
      <c r="D28" s="161" t="str">
        <f>INDEX(Unit_Rates!$C$7:$K$59,MATCH($C28,Unit_Rates!$C$7:$C$59,0),5)</f>
        <v>Subtransmission</v>
      </c>
      <c r="E28" s="161" t="str">
        <f>INDEX(Unit_Rates!$C$7:$K$59,MATCH($C28,Unit_Rates!$C$7:$C$59,0),6)</f>
        <v>Augmentation</v>
      </c>
      <c r="F28" s="161" t="str">
        <f t="shared" si="2"/>
        <v>SubtransmissionAugmentation</v>
      </c>
      <c r="G28" s="256">
        <f>INDEX(Unit_Rates!$C$7:$K$59,MATCH($C28,Unit_Rates!$C$7:$C$59,0),7)</f>
        <v>7.2299327433628298</v>
      </c>
      <c r="H28" s="518"/>
      <c r="I28" s="252" t="s">
        <v>308</v>
      </c>
      <c r="J28" s="147"/>
      <c r="K28" s="214">
        <f t="shared" ref="K28:K33" si="4">G28*H28</f>
        <v>0</v>
      </c>
      <c r="L28" s="286">
        <f t="shared" si="0"/>
        <v>0</v>
      </c>
      <c r="M28" s="332"/>
      <c r="N28" s="751"/>
      <c r="O28" s="754"/>
      <c r="P28" s="750"/>
      <c r="Q28" s="317"/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14">
        <f t="shared" si="1"/>
        <v>0</v>
      </c>
    </row>
    <row r="29" spans="2:33" x14ac:dyDescent="0.25">
      <c r="B29" s="220"/>
      <c r="C29" s="224" t="s">
        <v>347</v>
      </c>
      <c r="D29" s="161" t="str">
        <f>INDEX(Unit_Rates!$C$7:$K$59,MATCH($C29,Unit_Rates!$C$7:$C$59,0),5)</f>
        <v>Subtransmission</v>
      </c>
      <c r="E29" s="161" t="str">
        <f>INDEX(Unit_Rates!$C$7:$K$59,MATCH($C29,Unit_Rates!$C$7:$C$59,0),6)</f>
        <v>Augmentation</v>
      </c>
      <c r="F29" s="161" t="str">
        <f t="shared" si="2"/>
        <v>SubtransmissionAugmentation</v>
      </c>
      <c r="G29" s="256">
        <f>INDEX(Unit_Rates!$C$7:$K$59,MATCH($C29,Unit_Rates!$C$7:$C$59,0),7)</f>
        <v>0</v>
      </c>
      <c r="H29" s="518"/>
      <c r="I29" s="252" t="s">
        <v>308</v>
      </c>
      <c r="J29" s="147"/>
      <c r="K29" s="214">
        <f t="shared" si="4"/>
        <v>0</v>
      </c>
      <c r="L29" s="286">
        <f t="shared" si="0"/>
        <v>0</v>
      </c>
      <c r="M29" s="332"/>
      <c r="N29" s="751"/>
      <c r="O29" s="754"/>
      <c r="P29" s="750"/>
      <c r="Q29" s="317"/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14">
        <f t="shared" si="1"/>
        <v>0</v>
      </c>
    </row>
    <row r="30" spans="2:33" x14ac:dyDescent="0.25">
      <c r="B30" s="220"/>
      <c r="C30" s="224" t="s">
        <v>477</v>
      </c>
      <c r="D30" s="161" t="str">
        <f>INDEX(Unit_Rates!$C$7:$K$59,MATCH($C30,Unit_Rates!$C$7:$C$59,0),5)</f>
        <v>Subtransmission</v>
      </c>
      <c r="E30" s="161" t="str">
        <f>INDEX(Unit_Rates!$C$7:$K$59,MATCH($C30,Unit_Rates!$C$7:$C$59,0),6)</f>
        <v>Augmentation</v>
      </c>
      <c r="F30" s="161" t="str">
        <f>D30&amp;E30</f>
        <v>SubtransmissionAugmentation</v>
      </c>
      <c r="G30" s="256">
        <f>INDEX(Unit_Rates!$C$7:$K$59,MATCH($C30,Unit_Rates!$C$7:$C$59,0),7)</f>
        <v>0</v>
      </c>
      <c r="H30" s="518">
        <v>7</v>
      </c>
      <c r="I30" s="252" t="s">
        <v>308</v>
      </c>
      <c r="J30" s="147"/>
      <c r="K30" s="214">
        <f t="shared" si="4"/>
        <v>0</v>
      </c>
      <c r="L30" s="286">
        <f t="shared" si="0"/>
        <v>0</v>
      </c>
      <c r="M30" s="332"/>
      <c r="N30" s="751"/>
      <c r="O30" s="751"/>
      <c r="P30" s="750"/>
      <c r="Q30" s="317"/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14">
        <f t="shared" si="1"/>
        <v>0</v>
      </c>
    </row>
    <row r="31" spans="2:33" x14ac:dyDescent="0.25">
      <c r="B31" s="220"/>
      <c r="C31" s="224" t="s">
        <v>349</v>
      </c>
      <c r="D31" s="161" t="str">
        <f>INDEX(Unit_Rates!$C$7:$K$59,MATCH($C31,Unit_Rates!$C$7:$C$59,0),5)</f>
        <v>Subtransmission</v>
      </c>
      <c r="E31" s="161" t="str">
        <f>INDEX(Unit_Rates!$C$7:$K$59,MATCH($C31,Unit_Rates!$C$7:$C$59,0),6)</f>
        <v>Augmentation</v>
      </c>
      <c r="F31" s="161" t="str">
        <f t="shared" si="2"/>
        <v>SubtransmissionAugmentation</v>
      </c>
      <c r="G31" s="256">
        <f>INDEX(Unit_Rates!$C$7:$K$59,MATCH($C31,Unit_Rates!$C$7:$C$59,0),7)</f>
        <v>0</v>
      </c>
      <c r="H31" s="518"/>
      <c r="I31" s="252" t="s">
        <v>308</v>
      </c>
      <c r="J31" s="147"/>
      <c r="K31" s="214">
        <f t="shared" si="4"/>
        <v>0</v>
      </c>
      <c r="L31" s="286">
        <f t="shared" si="0"/>
        <v>0</v>
      </c>
      <c r="M31" s="332"/>
      <c r="N31" s="751"/>
      <c r="O31" s="754"/>
      <c r="P31" s="750"/>
      <c r="Q31" s="317"/>
      <c r="R31" s="310">
        <v>0</v>
      </c>
      <c r="S31" s="310">
        <v>0</v>
      </c>
      <c r="T31" s="310">
        <v>0</v>
      </c>
      <c r="U31" s="310">
        <v>0</v>
      </c>
      <c r="V31" s="310">
        <v>0</v>
      </c>
      <c r="W31" s="310">
        <v>0</v>
      </c>
      <c r="X31" s="310">
        <v>0</v>
      </c>
      <c r="Y31" s="14">
        <f t="shared" si="1"/>
        <v>0</v>
      </c>
    </row>
    <row r="32" spans="2:33" x14ac:dyDescent="0.25">
      <c r="B32" s="220"/>
      <c r="C32" s="224" t="s">
        <v>350</v>
      </c>
      <c r="D32" s="161" t="str">
        <f>INDEX(Unit_Rates!$C$7:$K$59,MATCH($C32,Unit_Rates!$C$7:$C$59,0),5)</f>
        <v>Subtransmission</v>
      </c>
      <c r="E32" s="161" t="str">
        <f>INDEX(Unit_Rates!$C$7:$K$59,MATCH($C32,Unit_Rates!$C$7:$C$59,0),6)</f>
        <v>Augmentation</v>
      </c>
      <c r="F32" s="161" t="str">
        <f t="shared" si="2"/>
        <v>SubtransmissionAugmentation</v>
      </c>
      <c r="G32" s="256">
        <f>INDEX(Unit_Rates!$C$7:$K$59,MATCH($C32,Unit_Rates!$C$7:$C$59,0),7)</f>
        <v>0.58488495575221222</v>
      </c>
      <c r="H32" s="518">
        <v>9</v>
      </c>
      <c r="I32" s="252" t="s">
        <v>308</v>
      </c>
      <c r="J32" s="147"/>
      <c r="K32" s="214">
        <f t="shared" si="4"/>
        <v>5.26396460176991</v>
      </c>
      <c r="L32" s="286">
        <f t="shared" si="0"/>
        <v>0</v>
      </c>
      <c r="M32" s="332"/>
      <c r="N32" s="751"/>
      <c r="O32" s="754"/>
      <c r="P32" s="750"/>
      <c r="Q32" s="317"/>
      <c r="R32" s="310">
        <v>0</v>
      </c>
      <c r="S32" s="310">
        <v>0</v>
      </c>
      <c r="T32" s="310">
        <v>0</v>
      </c>
      <c r="U32" s="310">
        <v>0</v>
      </c>
      <c r="V32" s="310">
        <v>0</v>
      </c>
      <c r="W32" s="310">
        <v>0</v>
      </c>
      <c r="X32" s="310">
        <v>0</v>
      </c>
      <c r="Y32" s="14">
        <f t="shared" si="1"/>
        <v>0</v>
      </c>
    </row>
    <row r="33" spans="2:25" x14ac:dyDescent="0.25">
      <c r="B33" s="220"/>
      <c r="C33" s="224" t="s">
        <v>479</v>
      </c>
      <c r="D33" s="161" t="str">
        <f>INDEX(Unit_Rates!$C$7:$K$59,MATCH($C33,Unit_Rates!$C$7:$C$59,0),5)</f>
        <v>Subtransmission</v>
      </c>
      <c r="E33" s="161" t="str">
        <f>INDEX(Unit_Rates!$C$7:$K$59,MATCH($C33,Unit_Rates!$C$7:$C$59,0),6)</f>
        <v>Augmentation</v>
      </c>
      <c r="F33" s="161" t="str">
        <f t="shared" si="2"/>
        <v>SubtransmissionAugmentation</v>
      </c>
      <c r="G33" s="256">
        <f>INDEX(Unit_Rates!$C$7:$K$59,MATCH($C33,Unit_Rates!$C$7:$C$59,0),7)</f>
        <v>0</v>
      </c>
      <c r="H33" s="518">
        <v>8</v>
      </c>
      <c r="I33" s="252" t="s">
        <v>308</v>
      </c>
      <c r="J33" s="147"/>
      <c r="K33" s="214">
        <f t="shared" si="4"/>
        <v>0</v>
      </c>
      <c r="L33" s="286">
        <f t="shared" si="0"/>
        <v>0</v>
      </c>
      <c r="M33" s="332"/>
      <c r="N33" s="751"/>
      <c r="O33" s="754"/>
      <c r="P33" s="750"/>
      <c r="Q33" s="317"/>
      <c r="R33" s="310">
        <v>0</v>
      </c>
      <c r="S33" s="310">
        <v>0</v>
      </c>
      <c r="T33" s="310">
        <v>0</v>
      </c>
      <c r="U33" s="310">
        <v>0</v>
      </c>
      <c r="V33" s="310">
        <v>0</v>
      </c>
      <c r="W33" s="310">
        <v>0</v>
      </c>
      <c r="X33" s="310">
        <v>0</v>
      </c>
      <c r="Y33" s="14">
        <f t="shared" si="1"/>
        <v>0</v>
      </c>
    </row>
    <row r="34" spans="2:25" x14ac:dyDescent="0.25">
      <c r="B34" s="220"/>
      <c r="C34" s="224" t="s">
        <v>225</v>
      </c>
      <c r="D34" s="161" t="str">
        <f>INDEX(Unit_Rates!$C$7:$K$59,MATCH($C34,Unit_Rates!$C$7:$C$59,0),5)</f>
        <v>Subtransmission</v>
      </c>
      <c r="E34" s="161" t="str">
        <f>INDEX(Unit_Rates!$C$7:$K$59,MATCH($C34,Unit_Rates!$C$7:$C$59,0),6)</f>
        <v>Augmentation</v>
      </c>
      <c r="F34" s="161" t="str">
        <f t="shared" si="2"/>
        <v>SubtransmissionAugmentation</v>
      </c>
      <c r="G34" s="256">
        <f>INDEX(Unit_Rates!$C$7:$K$59,MATCH($C34,Unit_Rates!$C$7:$C$59,0),7)</f>
        <v>88.538375221238923</v>
      </c>
      <c r="H34" s="518">
        <v>2</v>
      </c>
      <c r="I34" s="252" t="s">
        <v>308</v>
      </c>
      <c r="J34" s="147"/>
      <c r="K34" s="214">
        <f t="shared" si="3"/>
        <v>177.07675044247785</v>
      </c>
      <c r="L34" s="286">
        <f t="shared" si="0"/>
        <v>0</v>
      </c>
      <c r="M34" s="332"/>
      <c r="N34" s="751"/>
      <c r="O34" s="754"/>
      <c r="P34" s="750"/>
      <c r="Q34" s="317"/>
      <c r="R34" s="310">
        <v>0</v>
      </c>
      <c r="S34" s="310">
        <v>0</v>
      </c>
      <c r="T34" s="310">
        <v>0</v>
      </c>
      <c r="U34" s="310">
        <v>0</v>
      </c>
      <c r="V34" s="310">
        <v>0</v>
      </c>
      <c r="W34" s="310">
        <v>0</v>
      </c>
      <c r="X34" s="310">
        <v>0</v>
      </c>
      <c r="Y34" s="14">
        <f t="shared" si="1"/>
        <v>0</v>
      </c>
    </row>
    <row r="35" spans="2:25" x14ac:dyDescent="0.25">
      <c r="B35" s="220"/>
      <c r="C35" s="224" t="s">
        <v>228</v>
      </c>
      <c r="D35" s="161" t="str">
        <f>INDEX(Unit_Rates!$C$7:$K$59,MATCH($C35,Unit_Rates!$C$7:$C$59,0),5)</f>
        <v>Subtransmission</v>
      </c>
      <c r="E35" s="161" t="str">
        <f>INDEX(Unit_Rates!$C$7:$K$59,MATCH($C35,Unit_Rates!$C$7:$C$59,0),6)</f>
        <v>Augmentation</v>
      </c>
      <c r="F35" s="161" t="str">
        <f t="shared" si="2"/>
        <v>SubtransmissionAugmentation</v>
      </c>
      <c r="G35" s="256">
        <f>INDEX(Unit_Rates!$C$7:$K$59,MATCH($C35,Unit_Rates!$C$7:$C$59,0),7)</f>
        <v>0</v>
      </c>
      <c r="H35" s="518"/>
      <c r="I35" s="252" t="s">
        <v>308</v>
      </c>
      <c r="J35" s="147"/>
      <c r="K35" s="214">
        <f t="shared" si="3"/>
        <v>0</v>
      </c>
      <c r="L35" s="286">
        <f t="shared" si="0"/>
        <v>0</v>
      </c>
      <c r="M35" s="332"/>
      <c r="N35" s="751"/>
      <c r="O35" s="754"/>
      <c r="P35" s="750"/>
      <c r="Q35" s="317"/>
      <c r="R35" s="310">
        <v>0</v>
      </c>
      <c r="S35" s="310">
        <v>0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14">
        <f t="shared" si="1"/>
        <v>0</v>
      </c>
    </row>
    <row r="36" spans="2:25" x14ac:dyDescent="0.25">
      <c r="B36" s="220"/>
      <c r="C36" s="224" t="s">
        <v>375</v>
      </c>
      <c r="D36" s="161" t="str">
        <f>INDEX(Unit_Rates!$C$7:$K$59,MATCH($C36,Unit_Rates!$C$7:$C$59,0),5)</f>
        <v>Subtransmission</v>
      </c>
      <c r="E36" s="161" t="str">
        <f>INDEX(Unit_Rates!$C$7:$K$59,MATCH($C36,Unit_Rates!$C$7:$C$59,0),6)</f>
        <v>Augmentation</v>
      </c>
      <c r="F36" s="161" t="str">
        <f t="shared" si="2"/>
        <v>SubtransmissionAugmentation</v>
      </c>
      <c r="G36" s="256">
        <f>INDEX(Unit_Rates!$C$7:$K$59,MATCH($C36,Unit_Rates!$C$7:$C$59,0),7)</f>
        <v>214.73768141592916</v>
      </c>
      <c r="H36" s="518">
        <v>1</v>
      </c>
      <c r="I36" s="252" t="s">
        <v>308</v>
      </c>
      <c r="J36" s="147"/>
      <c r="K36" s="214">
        <f t="shared" si="3"/>
        <v>214.73768141592916</v>
      </c>
      <c r="L36" s="286">
        <f t="shared" si="0"/>
        <v>0</v>
      </c>
      <c r="M36" s="332"/>
      <c r="N36" s="751"/>
      <c r="O36" s="754"/>
      <c r="P36" s="750"/>
      <c r="Q36" s="317"/>
      <c r="R36" s="310">
        <v>0</v>
      </c>
      <c r="S36" s="310">
        <v>0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14">
        <f t="shared" si="1"/>
        <v>0</v>
      </c>
    </row>
    <row r="37" spans="2:25" x14ac:dyDescent="0.25">
      <c r="B37" s="220"/>
      <c r="C37" s="224" t="s">
        <v>289</v>
      </c>
      <c r="D37" s="161" t="str">
        <f>INDEX(Unit_Rates!$C$7:$K$59,MATCH($C37,Unit_Rates!$C$7:$C$59,0),5)</f>
        <v>Subtransmission</v>
      </c>
      <c r="E37" s="161" t="str">
        <f>INDEX(Unit_Rates!$C$7:$K$59,MATCH($C37,Unit_Rates!$C$7:$C$59,0),6)</f>
        <v>Augmentation</v>
      </c>
      <c r="F37" s="161" t="str">
        <f t="shared" si="2"/>
        <v>SubtransmissionAugmentation</v>
      </c>
      <c r="G37" s="256">
        <f>INDEX(Unit_Rates!$C$7:$K$59,MATCH($C37,Unit_Rates!$C$7:$C$59,0),7)</f>
        <v>348.13767610619459</v>
      </c>
      <c r="H37" s="518"/>
      <c r="I37" s="252" t="s">
        <v>308</v>
      </c>
      <c r="J37" s="147"/>
      <c r="K37" s="214">
        <f t="shared" si="3"/>
        <v>0</v>
      </c>
      <c r="L37" s="286">
        <f t="shared" si="0"/>
        <v>0</v>
      </c>
      <c r="M37" s="332"/>
      <c r="N37" s="751"/>
      <c r="O37" s="754"/>
      <c r="P37" s="750"/>
      <c r="Q37" s="317"/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14">
        <f t="shared" si="1"/>
        <v>0</v>
      </c>
    </row>
    <row r="38" spans="2:25" x14ac:dyDescent="0.25">
      <c r="B38" s="220"/>
      <c r="C38" s="224" t="s">
        <v>319</v>
      </c>
      <c r="D38" s="161" t="str">
        <f>INDEX(Unit_Rates!$C$7:$K$59,MATCH($C38,Unit_Rates!$C$7:$C$59,0),5)</f>
        <v>Subtransmission</v>
      </c>
      <c r="E38" s="161" t="str">
        <f>INDEX(Unit_Rates!$C$7:$K$59,MATCH($C38,Unit_Rates!$C$7:$C$59,0),6)</f>
        <v>Augmentation</v>
      </c>
      <c r="F38" s="161" t="str">
        <f>D38&amp;E38</f>
        <v>SubtransmissionAugmentation</v>
      </c>
      <c r="G38" s="524">
        <v>0.14850831858407074</v>
      </c>
      <c r="H38" s="518">
        <v>410</v>
      </c>
      <c r="I38" s="252" t="s">
        <v>334</v>
      </c>
      <c r="J38" s="147"/>
      <c r="K38" s="214">
        <f t="shared" si="3"/>
        <v>60.888410619468999</v>
      </c>
      <c r="L38" s="286">
        <f t="shared" si="0"/>
        <v>0</v>
      </c>
      <c r="M38" s="332"/>
      <c r="N38" s="751"/>
      <c r="O38" s="754"/>
      <c r="P38" s="750"/>
      <c r="Q38" s="277"/>
      <c r="R38" s="310">
        <v>0</v>
      </c>
      <c r="S38" s="310">
        <v>0</v>
      </c>
      <c r="T38" s="310">
        <v>0</v>
      </c>
      <c r="U38" s="310">
        <v>0</v>
      </c>
      <c r="V38" s="310">
        <v>0</v>
      </c>
      <c r="W38" s="310">
        <v>0</v>
      </c>
      <c r="X38" s="310">
        <v>0</v>
      </c>
      <c r="Y38" s="14">
        <f t="shared" si="1"/>
        <v>0</v>
      </c>
    </row>
    <row r="39" spans="2:25" x14ac:dyDescent="0.25">
      <c r="B39" s="220"/>
      <c r="C39" s="224" t="s">
        <v>704</v>
      </c>
      <c r="D39" s="161" t="str">
        <f>INDEX(Unit_Rates!$C$7:$K$59,MATCH($C39,Unit_Rates!$C$7:$C$59,0),5)</f>
        <v>Subtransmission</v>
      </c>
      <c r="E39" s="161" t="str">
        <f>INDEX(Unit_Rates!$C$7:$K$59,MATCH($C39,Unit_Rates!$C$7:$C$59,0),6)</f>
        <v>Augmentation</v>
      </c>
      <c r="F39" s="161" t="str">
        <f>D39&amp;E39</f>
        <v>SubtransmissionAugmentation</v>
      </c>
      <c r="G39" s="697">
        <f>INDEX(Unit_Rates!$C$7:$K$59,MATCH($C39,Unit_Rates!$C$7:$C$59,0),7)</f>
        <v>4.7168141592920348E-2</v>
      </c>
      <c r="H39" s="518">
        <v>400</v>
      </c>
      <c r="I39" s="252" t="s">
        <v>334</v>
      </c>
      <c r="J39" s="147"/>
      <c r="K39" s="214">
        <f t="shared" si="3"/>
        <v>18.86725663716814</v>
      </c>
      <c r="L39" s="286"/>
      <c r="M39" s="332"/>
      <c r="N39" s="751"/>
      <c r="O39" s="754"/>
      <c r="P39" s="750"/>
      <c r="Q39" s="277"/>
      <c r="R39" s="310">
        <v>0</v>
      </c>
      <c r="S39" s="310">
        <v>0</v>
      </c>
      <c r="T39" s="310">
        <v>0</v>
      </c>
      <c r="U39" s="310">
        <v>0</v>
      </c>
      <c r="V39" s="310">
        <v>0</v>
      </c>
      <c r="W39" s="310">
        <v>0</v>
      </c>
      <c r="X39" s="310">
        <v>0</v>
      </c>
      <c r="Y39" s="14">
        <f>SUM(R39:X39)</f>
        <v>0</v>
      </c>
    </row>
    <row r="40" spans="2:25" x14ac:dyDescent="0.25">
      <c r="B40" s="220"/>
      <c r="C40" s="224" t="s">
        <v>77</v>
      </c>
      <c r="D40" s="161" t="s">
        <v>18</v>
      </c>
      <c r="E40" s="161" t="s">
        <v>42</v>
      </c>
      <c r="F40" s="161" t="str">
        <f t="shared" si="2"/>
        <v>SubtransmissionAugmentation</v>
      </c>
      <c r="G40" s="524">
        <v>3.0857398230088489</v>
      </c>
      <c r="H40" s="596">
        <v>1</v>
      </c>
      <c r="I40" s="252" t="s">
        <v>308</v>
      </c>
      <c r="J40" s="147"/>
      <c r="K40" s="214">
        <f t="shared" si="3"/>
        <v>3.0857398230088489</v>
      </c>
      <c r="L40" s="215">
        <f t="shared" si="0"/>
        <v>0</v>
      </c>
      <c r="M40" s="332"/>
      <c r="N40" s="751"/>
      <c r="O40" s="754"/>
      <c r="P40" s="750"/>
      <c r="Q40" s="277"/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14">
        <f t="shared" si="1"/>
        <v>0</v>
      </c>
    </row>
    <row r="41" spans="2:25" x14ac:dyDescent="0.25">
      <c r="B41" s="220"/>
      <c r="C41" s="224" t="s">
        <v>651</v>
      </c>
      <c r="D41" s="161" t="str">
        <f>INDEX(Unit_Rates!$C$7:$K$59,MATCH($C41,Unit_Rates!$C$7:$C$59,0),5)</f>
        <v>Subtransmission</v>
      </c>
      <c r="E41" s="161" t="str">
        <f>INDEX(Unit_Rates!$C$7:$K$59,MATCH($C41,Unit_Rates!$C$7:$C$59,0),6)</f>
        <v>Augmentation</v>
      </c>
      <c r="F41" s="161" t="str">
        <f t="shared" si="2"/>
        <v>SubtransmissionAugmentation</v>
      </c>
      <c r="G41" s="271">
        <f>INDEX(Unit_Rates!$C$7:$K$59,MATCH($C41,Unit_Rates!$C$7:$C$59,0),7)</f>
        <v>339.16535221238934</v>
      </c>
      <c r="H41" s="537">
        <v>1</v>
      </c>
      <c r="I41" s="252" t="s">
        <v>308</v>
      </c>
      <c r="J41" s="147"/>
      <c r="K41" s="214">
        <f t="shared" si="3"/>
        <v>339.16535221238934</v>
      </c>
      <c r="L41" s="215">
        <f t="shared" si="0"/>
        <v>0</v>
      </c>
      <c r="M41" s="560"/>
      <c r="N41" s="739"/>
      <c r="O41" s="739"/>
      <c r="P41" s="740"/>
      <c r="Q41" s="317"/>
      <c r="R41" s="310">
        <v>0</v>
      </c>
      <c r="S41" s="310">
        <v>0</v>
      </c>
      <c r="T41" s="310">
        <v>0</v>
      </c>
      <c r="U41" s="310">
        <v>0</v>
      </c>
      <c r="V41" s="310">
        <v>0</v>
      </c>
      <c r="W41" s="310">
        <v>0</v>
      </c>
      <c r="X41" s="310">
        <v>0</v>
      </c>
      <c r="Y41" s="14">
        <f t="shared" si="1"/>
        <v>0</v>
      </c>
    </row>
    <row r="42" spans="2:25" x14ac:dyDescent="0.25">
      <c r="B42" s="220"/>
      <c r="C42" s="224" t="s">
        <v>488</v>
      </c>
      <c r="D42" s="161" t="str">
        <f>INDEX(Unit_Rates!$C$7:$K$59,MATCH($C42,Unit_Rates!$C$7:$C$59,0),5)</f>
        <v>Subtransmission</v>
      </c>
      <c r="E42" s="161" t="str">
        <f>INDEX(Unit_Rates!$C$7:$K$59,MATCH($C42,Unit_Rates!$C$7:$C$59,0),6)</f>
        <v>Augmentation</v>
      </c>
      <c r="F42" s="161" t="str">
        <f t="shared" si="2"/>
        <v>SubtransmissionAugmentation</v>
      </c>
      <c r="G42" s="271">
        <f>INDEX(Unit_Rates!$C$7:$K$59,MATCH($C42,Unit_Rates!$C$7:$C$59,0),7)</f>
        <v>25.624564601769904</v>
      </c>
      <c r="H42" s="537">
        <v>2</v>
      </c>
      <c r="I42" s="252" t="s">
        <v>308</v>
      </c>
      <c r="J42" s="147"/>
      <c r="K42" s="214">
        <f t="shared" si="3"/>
        <v>51.249129203539809</v>
      </c>
      <c r="L42" s="215">
        <f t="shared" si="0"/>
        <v>0</v>
      </c>
      <c r="M42" s="560"/>
      <c r="N42" s="739"/>
      <c r="O42" s="739"/>
      <c r="P42" s="740"/>
      <c r="Q42" s="317"/>
      <c r="R42" s="310">
        <v>0</v>
      </c>
      <c r="S42" s="310">
        <v>0</v>
      </c>
      <c r="T42" s="310">
        <v>0</v>
      </c>
      <c r="U42" s="310">
        <v>0</v>
      </c>
      <c r="V42" s="310">
        <v>0</v>
      </c>
      <c r="W42" s="310">
        <v>0</v>
      </c>
      <c r="X42" s="310">
        <v>0</v>
      </c>
      <c r="Y42" s="14">
        <f t="shared" si="1"/>
        <v>0</v>
      </c>
    </row>
    <row r="43" spans="2:25" x14ac:dyDescent="0.25">
      <c r="B43" s="220"/>
      <c r="C43" s="224"/>
      <c r="D43" s="161"/>
      <c r="E43" s="161"/>
      <c r="F43" s="161"/>
      <c r="G43" s="256"/>
      <c r="H43" s="220"/>
      <c r="I43" s="212"/>
      <c r="J43" s="147"/>
      <c r="K43" s="213"/>
      <c r="L43" s="212"/>
      <c r="M43" s="212"/>
      <c r="N43" s="213"/>
      <c r="O43" s="213"/>
      <c r="P43" s="212"/>
      <c r="Q43" s="278"/>
      <c r="R43" s="309"/>
      <c r="S43" s="309"/>
      <c r="T43" s="309"/>
      <c r="U43" s="309"/>
      <c r="V43" s="309"/>
      <c r="W43" s="309"/>
      <c r="X43" s="309"/>
      <c r="Y43" s="14"/>
    </row>
    <row r="44" spans="2:25" x14ac:dyDescent="0.25">
      <c r="B44" s="239" t="s">
        <v>323</v>
      </c>
      <c r="C44" s="224"/>
      <c r="D44" s="161"/>
      <c r="E44" s="161"/>
      <c r="F44" s="161"/>
      <c r="G44" s="256"/>
      <c r="H44" s="265"/>
      <c r="I44" s="254"/>
      <c r="J44" s="262"/>
      <c r="K44" s="214"/>
      <c r="L44" s="214"/>
      <c r="M44" s="214"/>
      <c r="N44" s="269"/>
      <c r="O44" s="214"/>
      <c r="P44" s="211"/>
      <c r="Q44" s="277"/>
      <c r="R44" s="309"/>
      <c r="S44" s="309"/>
      <c r="T44" s="309"/>
      <c r="U44" s="309"/>
      <c r="V44" s="309"/>
      <c r="W44" s="309"/>
      <c r="X44" s="309"/>
    </row>
    <row r="45" spans="2:25" x14ac:dyDescent="0.25">
      <c r="B45" s="220"/>
      <c r="C45" s="264" t="s">
        <v>483</v>
      </c>
      <c r="D45" s="161" t="str">
        <f>INDEX(Unit_Rates!$C$7:$K$59,MATCH($C45,Unit_Rates!$C$7:$C$59,0),5)</f>
        <v>SCADA/Network control</v>
      </c>
      <c r="E45" s="161" t="str">
        <f>INDEX(Unit_Rates!$C$7:$K$59,MATCH($C45,Unit_Rates!$C$7:$C$59,0),6)</f>
        <v>Augmentation</v>
      </c>
      <c r="F45" s="161" t="str">
        <f t="shared" ref="F45:F51" si="5">D45&amp;E45</f>
        <v>SCADA/Network controlAugmentation</v>
      </c>
      <c r="G45" s="256">
        <f>INDEX(Unit_Rates!$C$7:$K$59,MATCH($C45,Unit_Rates!$C$7:$C$59,0),7)</f>
        <v>46.208057090239414</v>
      </c>
      <c r="H45" s="518">
        <v>2</v>
      </c>
      <c r="I45" s="252" t="s">
        <v>308</v>
      </c>
      <c r="J45" s="147"/>
      <c r="K45" s="213">
        <f t="shared" ref="K45:K51" si="6">G45*H45</f>
        <v>92.416114180478829</v>
      </c>
      <c r="L45" s="213">
        <f t="shared" ref="L45:L51" si="7">SUMPRODUCT(R$5:X$5,R45:X45)/Thousands</f>
        <v>0</v>
      </c>
      <c r="M45" s="291"/>
      <c r="N45" s="751"/>
      <c r="O45" s="754"/>
      <c r="P45" s="750"/>
      <c r="Q45" s="317"/>
      <c r="R45" s="310">
        <v>0</v>
      </c>
      <c r="S45" s="310">
        <v>0</v>
      </c>
      <c r="T45" s="310">
        <v>0</v>
      </c>
      <c r="U45" s="310">
        <v>0</v>
      </c>
      <c r="V45" s="310">
        <v>0</v>
      </c>
      <c r="W45" s="310">
        <v>0</v>
      </c>
      <c r="X45" s="310">
        <v>0</v>
      </c>
    </row>
    <row r="46" spans="2:25" x14ac:dyDescent="0.25">
      <c r="B46" s="220"/>
      <c r="C46" s="264" t="s">
        <v>335</v>
      </c>
      <c r="D46" s="161" t="str">
        <f>INDEX(Unit_Rates!$C$7:$K$59,MATCH($C46,Unit_Rates!$C$7:$C$59,0),5)</f>
        <v>SCADA/Network control</v>
      </c>
      <c r="E46" s="161" t="str">
        <f>INDEX(Unit_Rates!$C$7:$K$59,MATCH($C46,Unit_Rates!$C$7:$C$59,0),6)</f>
        <v>Augmentation</v>
      </c>
      <c r="F46" s="161" t="str">
        <f t="shared" si="5"/>
        <v>SCADA/Network controlAugmentation</v>
      </c>
      <c r="G46" s="256">
        <f>INDEX(Unit_Rates!$C$7:$K$59,MATCH($C46,Unit_Rates!$C$7:$C$59,0),7)</f>
        <v>5.88950276243094</v>
      </c>
      <c r="H46" s="518">
        <v>1</v>
      </c>
      <c r="I46" s="252" t="s">
        <v>308</v>
      </c>
      <c r="J46" s="147"/>
      <c r="K46" s="213">
        <f t="shared" si="6"/>
        <v>5.88950276243094</v>
      </c>
      <c r="L46" s="213">
        <f t="shared" si="7"/>
        <v>0</v>
      </c>
      <c r="M46" s="291"/>
      <c r="N46" s="751"/>
      <c r="O46" s="754"/>
      <c r="P46" s="750"/>
      <c r="Q46" s="317"/>
      <c r="R46" s="310">
        <v>0</v>
      </c>
      <c r="S46" s="310">
        <v>0</v>
      </c>
      <c r="T46" s="310">
        <v>0</v>
      </c>
      <c r="U46" s="310">
        <v>0</v>
      </c>
      <c r="V46" s="310">
        <v>0</v>
      </c>
      <c r="W46" s="310">
        <v>0</v>
      </c>
      <c r="X46" s="310">
        <v>0</v>
      </c>
      <c r="Y46" s="14">
        <f t="shared" ref="Y46:Y52" si="8">SUM(R46:X46)</f>
        <v>0</v>
      </c>
    </row>
    <row r="47" spans="2:25" x14ac:dyDescent="0.25">
      <c r="B47" s="220"/>
      <c r="C47" s="264" t="s">
        <v>337</v>
      </c>
      <c r="D47" s="161" t="str">
        <f>INDEX(Unit_Rates!$C$7:$K$59,MATCH($C47,Unit_Rates!$C$7:$C$59,0),5)</f>
        <v>SCADA/Network control</v>
      </c>
      <c r="E47" s="161" t="str">
        <f>INDEX(Unit_Rates!$C$7:$K$59,MATCH($C47,Unit_Rates!$C$7:$C$59,0),6)</f>
        <v>Augmentation</v>
      </c>
      <c r="F47" s="161" t="str">
        <f t="shared" si="5"/>
        <v>SCADA/Network controlAugmentation</v>
      </c>
      <c r="G47" s="256">
        <f>INDEX(Unit_Rates!$C$7:$K$59,MATCH($C47,Unit_Rates!$C$7:$C$59,0),7)</f>
        <v>8.2030957642725593</v>
      </c>
      <c r="H47" s="518"/>
      <c r="I47" s="252" t="s">
        <v>308</v>
      </c>
      <c r="J47" s="147"/>
      <c r="K47" s="213">
        <f t="shared" si="6"/>
        <v>0</v>
      </c>
      <c r="L47" s="213">
        <f t="shared" si="7"/>
        <v>0</v>
      </c>
      <c r="M47" s="291"/>
      <c r="N47" s="751"/>
      <c r="O47" s="754"/>
      <c r="P47" s="750"/>
      <c r="Q47" s="317"/>
      <c r="R47" s="310">
        <v>0</v>
      </c>
      <c r="S47" s="310">
        <v>0</v>
      </c>
      <c r="T47" s="310">
        <v>0</v>
      </c>
      <c r="U47" s="310">
        <v>0</v>
      </c>
      <c r="V47" s="310">
        <v>0</v>
      </c>
      <c r="W47" s="310">
        <v>0</v>
      </c>
      <c r="X47" s="310">
        <v>0</v>
      </c>
      <c r="Y47" s="14">
        <f t="shared" si="8"/>
        <v>0</v>
      </c>
    </row>
    <row r="48" spans="2:25" x14ac:dyDescent="0.25">
      <c r="B48" s="220"/>
      <c r="C48" s="264" t="s">
        <v>504</v>
      </c>
      <c r="D48" s="161" t="str">
        <f>INDEX(Unit_Rates!$C$7:$K$59,MATCH($C48,Unit_Rates!$C$7:$C$59,0),5)</f>
        <v>SCADA/Network control</v>
      </c>
      <c r="E48" s="161" t="str">
        <f>INDEX(Unit_Rates!$C$7:$K$59,MATCH($C48,Unit_Rates!$C$7:$C$59,0),6)</f>
        <v>Augmentation</v>
      </c>
      <c r="F48" s="161" t="str">
        <f t="shared" si="5"/>
        <v>SCADA/Network controlAugmentation</v>
      </c>
      <c r="G48" s="256">
        <f>INDEX(Unit_Rates!$C$7:$K$59,MATCH($C48,Unit_Rates!$C$7:$C$59,0),7)</f>
        <v>92.456849907918979</v>
      </c>
      <c r="H48" s="518">
        <v>2</v>
      </c>
      <c r="I48" s="252" t="s">
        <v>308</v>
      </c>
      <c r="J48" s="147"/>
      <c r="K48" s="213">
        <f t="shared" si="6"/>
        <v>184.91369981583796</v>
      </c>
      <c r="L48" s="213">
        <f t="shared" si="7"/>
        <v>0</v>
      </c>
      <c r="M48" s="291"/>
      <c r="N48" s="751"/>
      <c r="O48" s="754"/>
      <c r="P48" s="750"/>
      <c r="Q48" s="317"/>
      <c r="R48" s="310">
        <v>0</v>
      </c>
      <c r="S48" s="310">
        <v>0</v>
      </c>
      <c r="T48" s="310">
        <v>0</v>
      </c>
      <c r="U48" s="310">
        <v>0</v>
      </c>
      <c r="V48" s="310">
        <v>0</v>
      </c>
      <c r="W48" s="310">
        <v>0</v>
      </c>
      <c r="X48" s="310">
        <v>0</v>
      </c>
      <c r="Y48" s="14">
        <f t="shared" si="8"/>
        <v>0</v>
      </c>
    </row>
    <row r="49" spans="2:25" x14ac:dyDescent="0.25">
      <c r="B49" s="220"/>
      <c r="C49" s="224" t="s">
        <v>340</v>
      </c>
      <c r="D49" s="264" t="s">
        <v>22</v>
      </c>
      <c r="E49" s="264" t="s">
        <v>42</v>
      </c>
      <c r="F49" s="161" t="str">
        <f t="shared" si="5"/>
        <v>SCADA/Network controlAugmentation</v>
      </c>
      <c r="G49" s="416">
        <v>192.20451681415926</v>
      </c>
      <c r="H49" s="518">
        <v>1</v>
      </c>
      <c r="I49" s="252" t="s">
        <v>308</v>
      </c>
      <c r="J49" s="147"/>
      <c r="K49" s="213">
        <f t="shared" si="6"/>
        <v>192.20451681415926</v>
      </c>
      <c r="L49" s="213">
        <f t="shared" si="7"/>
        <v>0</v>
      </c>
      <c r="M49" s="291"/>
      <c r="N49" s="751"/>
      <c r="O49" s="754"/>
      <c r="P49" s="750"/>
      <c r="Q49" s="277"/>
      <c r="R49" s="310">
        <v>0</v>
      </c>
      <c r="S49" s="310">
        <v>0</v>
      </c>
      <c r="T49" s="310">
        <v>0</v>
      </c>
      <c r="U49" s="310">
        <v>0</v>
      </c>
      <c r="V49" s="310">
        <v>0</v>
      </c>
      <c r="W49" s="310">
        <v>0</v>
      </c>
      <c r="X49" s="310">
        <v>0</v>
      </c>
      <c r="Y49" s="14">
        <f t="shared" si="8"/>
        <v>0</v>
      </c>
    </row>
    <row r="50" spans="2:25" x14ac:dyDescent="0.25">
      <c r="B50" s="220"/>
      <c r="C50" s="224" t="s">
        <v>338</v>
      </c>
      <c r="D50" s="264" t="s">
        <v>22</v>
      </c>
      <c r="E50" s="264" t="s">
        <v>42</v>
      </c>
      <c r="F50" s="161" t="str">
        <f t="shared" si="5"/>
        <v>SCADA/Network controlAugmentation</v>
      </c>
      <c r="G50" s="416">
        <v>312.73421238938045</v>
      </c>
      <c r="H50" s="537">
        <v>1</v>
      </c>
      <c r="I50" s="252" t="s">
        <v>308</v>
      </c>
      <c r="J50" s="147"/>
      <c r="K50" s="213">
        <f t="shared" si="6"/>
        <v>312.73421238938045</v>
      </c>
      <c r="L50" s="213">
        <f t="shared" si="7"/>
        <v>0</v>
      </c>
      <c r="M50" s="291"/>
      <c r="N50" s="751"/>
      <c r="O50" s="754"/>
      <c r="P50" s="750"/>
      <c r="Q50" s="277"/>
      <c r="R50" s="310">
        <v>0</v>
      </c>
      <c r="S50" s="310">
        <v>0</v>
      </c>
      <c r="T50" s="310">
        <v>0</v>
      </c>
      <c r="U50" s="310">
        <v>0</v>
      </c>
      <c r="V50" s="310">
        <v>0</v>
      </c>
      <c r="W50" s="310">
        <v>0</v>
      </c>
      <c r="X50" s="310">
        <v>0</v>
      </c>
      <c r="Y50" s="14">
        <f t="shared" si="8"/>
        <v>0</v>
      </c>
    </row>
    <row r="51" spans="2:25" x14ac:dyDescent="0.25">
      <c r="B51" s="239" t="s">
        <v>297</v>
      </c>
      <c r="C51" s="224"/>
      <c r="D51" s="224" t="s">
        <v>18</v>
      </c>
      <c r="E51" s="224" t="s">
        <v>42</v>
      </c>
      <c r="F51" s="161" t="str">
        <f t="shared" si="5"/>
        <v>SubtransmissionAugmentation</v>
      </c>
      <c r="G51" s="416"/>
      <c r="H51" s="516"/>
      <c r="I51" s="252" t="s">
        <v>308</v>
      </c>
      <c r="J51" s="147"/>
      <c r="K51" s="213">
        <f t="shared" si="6"/>
        <v>0</v>
      </c>
      <c r="L51" s="213">
        <f t="shared" si="7"/>
        <v>0</v>
      </c>
      <c r="M51" s="291"/>
      <c r="N51" s="751"/>
      <c r="O51" s="754"/>
      <c r="P51" s="750"/>
      <c r="Q51" s="277"/>
      <c r="R51" s="310">
        <v>0</v>
      </c>
      <c r="S51" s="310">
        <v>0</v>
      </c>
      <c r="T51" s="310">
        <v>0</v>
      </c>
      <c r="U51" s="310">
        <v>0</v>
      </c>
      <c r="V51" s="310">
        <v>0</v>
      </c>
      <c r="W51" s="310">
        <v>0</v>
      </c>
      <c r="X51" s="310">
        <v>0</v>
      </c>
      <c r="Y51" s="14">
        <f t="shared" si="8"/>
        <v>0</v>
      </c>
    </row>
    <row r="52" spans="2:25" x14ac:dyDescent="0.25">
      <c r="B52" s="239" t="s">
        <v>328</v>
      </c>
      <c r="C52" s="224"/>
      <c r="D52" s="161"/>
      <c r="E52" s="161"/>
      <c r="F52" s="264"/>
      <c r="G52" s="253"/>
      <c r="H52" s="220"/>
      <c r="I52" s="212"/>
      <c r="J52" s="161"/>
      <c r="K52" s="213"/>
      <c r="L52" s="213"/>
      <c r="M52" s="213"/>
      <c r="N52" s="210"/>
      <c r="O52" s="213"/>
      <c r="P52" s="211"/>
      <c r="Q52" s="277"/>
      <c r="R52" s="309"/>
      <c r="S52" s="309"/>
      <c r="T52" s="309"/>
      <c r="U52" s="309"/>
      <c r="V52" s="309"/>
      <c r="W52" s="309"/>
      <c r="X52" s="309"/>
      <c r="Y52" s="14">
        <f t="shared" si="8"/>
        <v>0</v>
      </c>
    </row>
    <row r="53" spans="2:25" x14ac:dyDescent="0.25">
      <c r="B53" s="220"/>
      <c r="C53" s="224" t="s">
        <v>327</v>
      </c>
      <c r="D53" s="224" t="s">
        <v>18</v>
      </c>
      <c r="E53" s="224" t="s">
        <v>42</v>
      </c>
      <c r="F53" s="161" t="str">
        <f t="shared" ref="F53:F59" si="9">D53&amp;E53</f>
        <v>SubtransmissionAugmentation</v>
      </c>
      <c r="G53" s="524">
        <v>0</v>
      </c>
      <c r="H53" s="516"/>
      <c r="I53" s="252" t="s">
        <v>308</v>
      </c>
      <c r="J53" s="161"/>
      <c r="K53" s="213">
        <f>G53*H53</f>
        <v>0</v>
      </c>
      <c r="L53" s="213">
        <f>SUMPRODUCT(R$5:X$5,R53:X53)/Thousands</f>
        <v>0</v>
      </c>
      <c r="M53" s="291"/>
      <c r="N53" s="751"/>
      <c r="O53" s="754"/>
      <c r="P53" s="750"/>
      <c r="Q53" s="277"/>
      <c r="R53" s="310">
        <v>0</v>
      </c>
      <c r="S53" s="310">
        <v>0</v>
      </c>
      <c r="T53" s="310">
        <v>0</v>
      </c>
      <c r="U53" s="310">
        <v>0</v>
      </c>
      <c r="V53" s="310">
        <v>0</v>
      </c>
      <c r="W53" s="310">
        <v>0</v>
      </c>
      <c r="X53" s="310">
        <v>0</v>
      </c>
    </row>
    <row r="54" spans="2:25" x14ac:dyDescent="0.25">
      <c r="B54" s="220"/>
      <c r="C54" s="224" t="s">
        <v>332</v>
      </c>
      <c r="D54" s="161" t="str">
        <f>Unit_Rates!G43</f>
        <v>Subtransmission</v>
      </c>
      <c r="E54" s="161" t="str">
        <f>Unit_Rates!H43</f>
        <v>Augmentation</v>
      </c>
      <c r="F54" s="161" t="str">
        <f t="shared" si="9"/>
        <v>SubtransmissionAugmentation</v>
      </c>
      <c r="G54" s="271"/>
      <c r="H54" s="516"/>
      <c r="I54" s="252" t="s">
        <v>308</v>
      </c>
      <c r="J54" s="161"/>
      <c r="K54" s="213">
        <f>G54*H54</f>
        <v>0</v>
      </c>
      <c r="L54" s="213">
        <f>SUMPRODUCT(R$5:X$5,R54:X54)/Thousands</f>
        <v>0</v>
      </c>
      <c r="M54" s="291"/>
      <c r="N54" s="751"/>
      <c r="O54" s="751"/>
      <c r="P54" s="750"/>
      <c r="Q54" s="317"/>
      <c r="R54" s="310">
        <v>0</v>
      </c>
      <c r="S54" s="310">
        <v>0</v>
      </c>
      <c r="T54" s="310">
        <v>0</v>
      </c>
      <c r="U54" s="310">
        <v>0</v>
      </c>
      <c r="V54" s="310">
        <v>0</v>
      </c>
      <c r="W54" s="310">
        <v>0</v>
      </c>
      <c r="X54" s="310">
        <v>0</v>
      </c>
      <c r="Y54" s="14">
        <f t="shared" ref="Y54:Y59" si="10">SUM(R54:X54)</f>
        <v>0</v>
      </c>
    </row>
    <row r="55" spans="2:25" x14ac:dyDescent="0.25">
      <c r="B55" s="220"/>
      <c r="C55" s="639" t="s">
        <v>333</v>
      </c>
      <c r="D55" s="161" t="s">
        <v>18</v>
      </c>
      <c r="E55" s="264" t="s">
        <v>42</v>
      </c>
      <c r="F55" s="161" t="str">
        <f t="shared" si="9"/>
        <v>SubtransmissionAugmentation</v>
      </c>
      <c r="G55" s="524">
        <v>0</v>
      </c>
      <c r="H55" s="518">
        <v>1</v>
      </c>
      <c r="I55" s="252" t="s">
        <v>308</v>
      </c>
      <c r="J55" s="161"/>
      <c r="K55" s="213">
        <f>G55*H55</f>
        <v>0</v>
      </c>
      <c r="L55" s="213">
        <f>SUMPRODUCT(R$5:X$5,R55:X55)/Thousands</f>
        <v>0</v>
      </c>
      <c r="M55" s="291"/>
      <c r="N55" s="751"/>
      <c r="O55" s="754"/>
      <c r="P55" s="750"/>
      <c r="Q55" s="277"/>
      <c r="R55" s="310">
        <v>0</v>
      </c>
      <c r="S55" s="310">
        <v>0</v>
      </c>
      <c r="T55" s="310">
        <v>0</v>
      </c>
      <c r="U55" s="310">
        <v>0</v>
      </c>
      <c r="V55" s="310">
        <v>0</v>
      </c>
      <c r="W55" s="310">
        <v>0</v>
      </c>
      <c r="X55" s="310">
        <v>0</v>
      </c>
      <c r="Y55" s="14">
        <f t="shared" si="10"/>
        <v>0</v>
      </c>
    </row>
    <row r="56" spans="2:25" x14ac:dyDescent="0.25">
      <c r="B56" s="296" t="s">
        <v>300</v>
      </c>
      <c r="C56" s="639"/>
      <c r="D56" s="161" t="s">
        <v>18</v>
      </c>
      <c r="E56" s="264" t="s">
        <v>42</v>
      </c>
      <c r="F56" s="161" t="str">
        <f t="shared" si="9"/>
        <v>SubtransmissionAugmentation</v>
      </c>
      <c r="G56" s="416">
        <v>13.142930973451325</v>
      </c>
      <c r="H56" s="518">
        <v>1</v>
      </c>
      <c r="I56" s="252" t="s">
        <v>308</v>
      </c>
      <c r="J56" s="161"/>
      <c r="K56" s="213">
        <f>G56*H56</f>
        <v>13.142930973451325</v>
      </c>
      <c r="L56" s="216">
        <f>SUMPRODUCT(R$5:X$5,R56:X56)/Thousands</f>
        <v>0</v>
      </c>
      <c r="M56" s="295"/>
      <c r="N56" s="751"/>
      <c r="O56" s="747"/>
      <c r="P56" s="750"/>
      <c r="Q56" s="277"/>
      <c r="R56" s="310">
        <v>0</v>
      </c>
      <c r="S56" s="310">
        <v>0</v>
      </c>
      <c r="T56" s="310">
        <v>0</v>
      </c>
      <c r="U56" s="310">
        <v>0</v>
      </c>
      <c r="V56" s="310">
        <v>0</v>
      </c>
      <c r="W56" s="310">
        <v>0</v>
      </c>
      <c r="X56" s="310">
        <v>0</v>
      </c>
      <c r="Y56" s="14">
        <f t="shared" si="10"/>
        <v>0</v>
      </c>
    </row>
    <row r="57" spans="2:25" x14ac:dyDescent="0.25">
      <c r="B57" s="239" t="s">
        <v>284</v>
      </c>
      <c r="C57" s="224"/>
      <c r="D57" s="161" t="s">
        <v>211</v>
      </c>
      <c r="E57" s="264" t="s">
        <v>83</v>
      </c>
      <c r="F57" s="161" t="str">
        <f t="shared" si="9"/>
        <v>LandNon-Network</v>
      </c>
      <c r="G57" s="256">
        <v>0</v>
      </c>
      <c r="H57" s="516"/>
      <c r="I57" s="252" t="s">
        <v>308</v>
      </c>
      <c r="J57" s="161"/>
      <c r="K57" s="216">
        <v>0</v>
      </c>
      <c r="L57" s="216">
        <f>SUMPRODUCT(R$5:X$5,R57:X57)/Thousands</f>
        <v>0</v>
      </c>
      <c r="M57" s="295"/>
      <c r="N57" s="751"/>
      <c r="O57" s="747"/>
      <c r="P57" s="750"/>
      <c r="Q57" s="19"/>
      <c r="R57" s="310">
        <v>0</v>
      </c>
      <c r="S57" s="310">
        <v>0</v>
      </c>
      <c r="T57" s="310">
        <v>0</v>
      </c>
      <c r="U57" s="310">
        <v>0</v>
      </c>
      <c r="V57" s="310">
        <v>0</v>
      </c>
      <c r="W57" s="310">
        <v>0</v>
      </c>
      <c r="X57" s="310">
        <v>0</v>
      </c>
      <c r="Y57" s="14">
        <f t="shared" si="10"/>
        <v>0</v>
      </c>
    </row>
    <row r="58" spans="2:25" x14ac:dyDescent="0.25">
      <c r="B58" s="239"/>
      <c r="C58" s="161"/>
      <c r="D58" s="161"/>
      <c r="E58" s="264"/>
      <c r="F58" s="161"/>
      <c r="G58" s="256"/>
      <c r="H58" s="265"/>
      <c r="I58" s="254"/>
      <c r="J58" s="224"/>
      <c r="K58" s="256"/>
      <c r="L58" s="256"/>
      <c r="M58" s="256"/>
      <c r="N58" s="269"/>
      <c r="O58" s="256"/>
      <c r="P58" s="289"/>
      <c r="Q58" s="325"/>
      <c r="R58" s="262"/>
      <c r="S58" s="262"/>
      <c r="T58" s="262"/>
      <c r="U58" s="262"/>
      <c r="V58" s="262"/>
      <c r="W58" s="262"/>
      <c r="X58" s="262"/>
      <c r="Y58" s="14"/>
    </row>
    <row r="59" spans="2:25" x14ac:dyDescent="0.25">
      <c r="B59" s="417" t="s">
        <v>434</v>
      </c>
      <c r="C59" s="161"/>
      <c r="D59" s="161" t="s">
        <v>18</v>
      </c>
      <c r="E59" s="264" t="s">
        <v>44</v>
      </c>
      <c r="F59" s="161" t="str">
        <f t="shared" si="9"/>
        <v>SubtransmissionReplacement</v>
      </c>
      <c r="G59" s="256">
        <v>0</v>
      </c>
      <c r="H59" s="516"/>
      <c r="I59" s="252" t="s">
        <v>308</v>
      </c>
      <c r="J59" s="161"/>
      <c r="K59" s="400">
        <f>G59*H59</f>
        <v>0</v>
      </c>
      <c r="L59" s="400">
        <f>SUMPRODUCT(R$5:X$5,R59:X59)/Thousands</f>
        <v>0</v>
      </c>
      <c r="M59" s="401"/>
      <c r="N59" s="421"/>
      <c r="O59" s="422"/>
      <c r="P59" s="418">
        <f>SUM(K59:O59)</f>
        <v>0</v>
      </c>
      <c r="Q59" s="19"/>
      <c r="R59" s="310">
        <v>0</v>
      </c>
      <c r="S59" s="310">
        <v>0</v>
      </c>
      <c r="T59" s="310">
        <v>0</v>
      </c>
      <c r="U59" s="310">
        <v>0</v>
      </c>
      <c r="V59" s="310">
        <v>0</v>
      </c>
      <c r="W59" s="310">
        <v>0</v>
      </c>
      <c r="X59" s="310">
        <v>0</v>
      </c>
      <c r="Y59" s="14">
        <f t="shared" si="10"/>
        <v>0</v>
      </c>
    </row>
    <row r="60" spans="2:25" x14ac:dyDescent="0.25">
      <c r="B60" s="220"/>
      <c r="C60" s="161"/>
      <c r="D60" s="161"/>
      <c r="E60" s="161"/>
      <c r="F60" s="161"/>
      <c r="G60" s="212"/>
      <c r="H60" s="220"/>
      <c r="I60" s="212"/>
      <c r="J60" s="161"/>
      <c r="K60" s="217"/>
      <c r="L60" s="217"/>
      <c r="M60" s="217"/>
      <c r="N60" s="217"/>
      <c r="O60" s="217"/>
      <c r="P60" s="217"/>
    </row>
    <row r="61" spans="2:25" x14ac:dyDescent="0.25">
      <c r="B61" s="239" t="s">
        <v>298</v>
      </c>
      <c r="C61" s="161"/>
      <c r="D61" s="161"/>
      <c r="E61" s="161"/>
      <c r="F61" s="161"/>
      <c r="G61" s="212"/>
      <c r="H61" s="220"/>
      <c r="I61" s="212"/>
      <c r="J61" s="161"/>
      <c r="K61" s="302">
        <f t="shared" ref="K61:M61" si="11">SUM(K6:K59)</f>
        <v>4256.2682955198097</v>
      </c>
      <c r="L61" s="302">
        <f t="shared" si="11"/>
        <v>994.56408825102142</v>
      </c>
      <c r="M61" s="302">
        <f t="shared" si="11"/>
        <v>1037.6991150442475</v>
      </c>
      <c r="N61" s="302">
        <v>2689.6136563264035</v>
      </c>
      <c r="O61" s="302">
        <v>129.74481812936978</v>
      </c>
      <c r="P61" s="302">
        <v>9107.8899732708487</v>
      </c>
      <c r="Q61" s="168"/>
    </row>
    <row r="62" spans="2:25" x14ac:dyDescent="0.25">
      <c r="B62" s="247" t="s">
        <v>72</v>
      </c>
      <c r="C62" s="248"/>
      <c r="D62" s="248"/>
      <c r="E62" s="248"/>
      <c r="F62" s="248"/>
      <c r="G62" s="255"/>
      <c r="H62" s="247"/>
      <c r="I62" s="255"/>
      <c r="J62" s="248"/>
      <c r="K62" s="303">
        <f>K61-Direct_Capex_Totals!Q9</f>
        <v>0</v>
      </c>
      <c r="L62" s="304">
        <f>L61-Direct_Capex_Totals!R9</f>
        <v>0</v>
      </c>
      <c r="M62" s="304">
        <f>M61-Direct_Capex_Totals!S9</f>
        <v>0</v>
      </c>
      <c r="N62" s="304">
        <f>N61-Direct_Capex_Totals!T9</f>
        <v>0</v>
      </c>
      <c r="O62" s="304">
        <f>O61-Direct_Capex_Totals!U9</f>
        <v>0</v>
      </c>
      <c r="P62" s="305">
        <f>SUM(K62:O62)</f>
        <v>0</v>
      </c>
    </row>
    <row r="63" spans="2:25" ht="30" x14ac:dyDescent="0.25">
      <c r="B63" s="225" t="s">
        <v>278</v>
      </c>
      <c r="C63" s="226"/>
      <c r="D63" s="279"/>
      <c r="E63" s="279"/>
      <c r="F63" s="279"/>
      <c r="G63" s="261" t="s">
        <v>318</v>
      </c>
      <c r="H63" s="320" t="s">
        <v>281</v>
      </c>
      <c r="I63" s="18" t="s">
        <v>309</v>
      </c>
      <c r="J63" s="248"/>
      <c r="K63" s="18" t="s">
        <v>151</v>
      </c>
      <c r="L63" s="18" t="s">
        <v>306</v>
      </c>
      <c r="M63" s="261" t="s">
        <v>152</v>
      </c>
      <c r="N63" s="261" t="s">
        <v>153</v>
      </c>
      <c r="O63" s="18" t="s">
        <v>77</v>
      </c>
      <c r="P63" s="18" t="s">
        <v>307</v>
      </c>
    </row>
    <row r="64" spans="2:25" x14ac:dyDescent="0.25">
      <c r="B64" s="239"/>
      <c r="C64" s="161"/>
      <c r="D64" s="161"/>
      <c r="E64" s="161"/>
      <c r="F64" s="161"/>
      <c r="G64" s="212"/>
      <c r="H64" s="220"/>
      <c r="I64" s="212"/>
      <c r="J64" s="161"/>
      <c r="K64" s="223"/>
      <c r="L64" s="223"/>
      <c r="M64" s="223"/>
      <c r="N64" s="223"/>
      <c r="O64" s="223"/>
      <c r="P64" s="212"/>
    </row>
    <row r="65" spans="2:35" x14ac:dyDescent="0.25">
      <c r="B65" s="239" t="s">
        <v>17</v>
      </c>
      <c r="C65" s="161"/>
      <c r="D65" s="161"/>
      <c r="E65" s="161"/>
      <c r="F65" s="161"/>
      <c r="G65" s="212"/>
      <c r="H65" s="220"/>
      <c r="I65" s="212"/>
      <c r="J65" s="161"/>
      <c r="K65" s="223"/>
      <c r="L65" s="223"/>
      <c r="M65" s="223"/>
      <c r="N65" s="223"/>
      <c r="O65" s="223"/>
      <c r="P65" s="212"/>
      <c r="Y65" s="14"/>
      <c r="AI65" t="s">
        <v>472</v>
      </c>
    </row>
    <row r="66" spans="2:35" x14ac:dyDescent="0.25">
      <c r="B66" s="239"/>
      <c r="C66" s="270" t="s">
        <v>344</v>
      </c>
      <c r="D66" s="270" t="str">
        <f>IF($B$3="WYK2",Unit_Rates!G65,Unit_Rates!G66)</f>
        <v>Distribution system assets</v>
      </c>
      <c r="E66" s="270" t="str">
        <f>IF($B$3="WYK2",Unit_Rates!H65,Unit_Rates!H66)</f>
        <v>Augmentation</v>
      </c>
      <c r="F66" s="161" t="str">
        <f t="shared" ref="F66:F72" si="12">D66&amp;E66</f>
        <v>Distribution system assetsAugmentation</v>
      </c>
      <c r="G66" s="271">
        <v>0</v>
      </c>
      <c r="H66" s="430">
        <f>INDEX(Feeder_Vols!$E$7:$Q$13,MATCH($B$3,Feeder_Vols!$B$7:$B$12,0),MATCH(1,Feeder_Vols!$E$6:$Q$6,0))</f>
        <v>5</v>
      </c>
      <c r="I66" s="212" t="s">
        <v>313</v>
      </c>
      <c r="J66" s="270"/>
      <c r="K66" s="271"/>
      <c r="L66" s="271">
        <f>SUMPRODUCT(R$5:X$5,R66:X66)/Thousands</f>
        <v>41.048020576842568</v>
      </c>
      <c r="M66" s="271">
        <f>$H66*IF($B$3="WYK2",Unit_Rates!K65,Unit_Rates!K66)</f>
        <v>90.659581395348837</v>
      </c>
      <c r="N66" s="271">
        <f>$H66*IF($B$3="WYK2",Unit_Rates!L65,Unit_Rates!L66)</f>
        <v>0</v>
      </c>
      <c r="O66" s="271">
        <f>$H66*IF($B$3="WYK2",Unit_Rates!M65,Unit_Rates!M66)</f>
        <v>0</v>
      </c>
      <c r="P66" s="216">
        <f>SUM(K66:O66)</f>
        <v>131.70760197219141</v>
      </c>
      <c r="Q66" s="315"/>
      <c r="R66" s="628">
        <f>$AI66*Z66*$H66</f>
        <v>74.013157894736835</v>
      </c>
      <c r="S66" s="628">
        <f t="shared" ref="S66:X75" si="13">$AI66*AA66*$H66</f>
        <v>198.06338028169012</v>
      </c>
      <c r="T66" s="628">
        <f t="shared" si="13"/>
        <v>0</v>
      </c>
      <c r="U66" s="628">
        <f t="shared" si="13"/>
        <v>0</v>
      </c>
      <c r="V66" s="628">
        <f t="shared" si="13"/>
        <v>0</v>
      </c>
      <c r="W66" s="628">
        <f t="shared" si="13"/>
        <v>0</v>
      </c>
      <c r="X66" s="628">
        <f t="shared" si="13"/>
        <v>0</v>
      </c>
      <c r="Y66" s="14">
        <f t="shared" ref="Y66:Y75" si="14">SUM(R66:X66)</f>
        <v>272.07653817642694</v>
      </c>
      <c r="Z66" s="15">
        <v>0.27203065134099613</v>
      </c>
      <c r="AA66" s="15">
        <v>0.72796934865900376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6">
        <f t="shared" ref="AG66:AG71" si="15">SUM(Z66:AF66)</f>
        <v>0.99999999999999989</v>
      </c>
      <c r="AH66" t="b">
        <f t="shared" ref="AH66:AH71" si="16">AG66=1</f>
        <v>1</v>
      </c>
      <c r="AI66" s="365">
        <v>54.415307635285394</v>
      </c>
    </row>
    <row r="67" spans="2:35" x14ac:dyDescent="0.25">
      <c r="B67" s="239"/>
      <c r="C67" s="161" t="s">
        <v>247</v>
      </c>
      <c r="D67" s="270" t="str">
        <f>Unit_Rates!G67</f>
        <v>Distribution system assets</v>
      </c>
      <c r="E67" s="270" t="str">
        <f>Unit_Rates!H67</f>
        <v>Augmentation</v>
      </c>
      <c r="F67" s="161" t="str">
        <f t="shared" si="12"/>
        <v>Distribution system assetsAugmentation</v>
      </c>
      <c r="G67" s="742"/>
      <c r="H67" s="430">
        <f>INDEX(Feeder_Vols!$E$7:$Q$13,MATCH($B$3,Feeder_Vols!$B$7:$B$12,0),MATCH(2,Feeder_Vols!$E$6:$Q$6,0))</f>
        <v>0</v>
      </c>
      <c r="I67" s="212" t="s">
        <v>314</v>
      </c>
      <c r="J67" s="270"/>
      <c r="K67" s="742"/>
      <c r="L67" s="742"/>
      <c r="M67" s="742"/>
      <c r="N67" s="742"/>
      <c r="O67" s="742"/>
      <c r="P67" s="747"/>
      <c r="Q67" s="14"/>
      <c r="R67" s="748"/>
      <c r="S67" s="748"/>
      <c r="T67" s="748"/>
      <c r="U67" s="748"/>
      <c r="V67" s="748"/>
      <c r="W67" s="748"/>
      <c r="X67" s="748"/>
      <c r="Y67" s="744"/>
      <c r="Z67" s="15">
        <v>0</v>
      </c>
      <c r="AA67" s="15">
        <v>0.14071351127025331</v>
      </c>
      <c r="AB67" s="15">
        <v>0.24322448098123187</v>
      </c>
      <c r="AC67" s="15">
        <v>0</v>
      </c>
      <c r="AD67" s="15">
        <v>0.1760177164995757</v>
      </c>
      <c r="AE67" s="15">
        <v>0.44004429124893918</v>
      </c>
      <c r="AF67" s="15">
        <v>0</v>
      </c>
      <c r="AG67" s="16">
        <f t="shared" si="15"/>
        <v>1</v>
      </c>
      <c r="AH67" t="b">
        <f t="shared" si="16"/>
        <v>1</v>
      </c>
      <c r="AI67" s="792"/>
    </row>
    <row r="68" spans="2:35" x14ac:dyDescent="0.25">
      <c r="B68" s="239"/>
      <c r="C68" s="161" t="s">
        <v>251</v>
      </c>
      <c r="D68" s="270" t="str">
        <f>Unit_Rates!G68</f>
        <v>Distribution system assets</v>
      </c>
      <c r="E68" s="270" t="str">
        <f>Unit_Rates!H68</f>
        <v>Augmentation</v>
      </c>
      <c r="F68" s="161" t="str">
        <f t="shared" si="12"/>
        <v>Distribution system assetsAugmentation</v>
      </c>
      <c r="G68" s="742"/>
      <c r="H68" s="430">
        <f>INDEX(Feeder_Vols!$E$7:$Q$13,MATCH($B$3,Feeder_Vols!$B$7:$B$12,0),MATCH(3,Feeder_Vols!$E$6:$Q$6,0))</f>
        <v>1</v>
      </c>
      <c r="I68" s="212" t="s">
        <v>310</v>
      </c>
      <c r="J68" s="270"/>
      <c r="K68" s="742"/>
      <c r="L68" s="742"/>
      <c r="M68" s="742"/>
      <c r="N68" s="742"/>
      <c r="O68" s="742"/>
      <c r="P68" s="747"/>
      <c r="Q68" s="14"/>
      <c r="R68" s="748"/>
      <c r="S68" s="748"/>
      <c r="T68" s="748"/>
      <c r="U68" s="748"/>
      <c r="V68" s="748"/>
      <c r="W68" s="748"/>
      <c r="X68" s="748"/>
      <c r="Y68" s="744"/>
      <c r="Z68" s="15">
        <v>0</v>
      </c>
      <c r="AA68" s="15">
        <v>0.11317869701862385</v>
      </c>
      <c r="AB68" s="15">
        <v>0.25101832039696309</v>
      </c>
      <c r="AC68" s="15">
        <v>0</v>
      </c>
      <c r="AD68" s="15">
        <v>0.18165799502411806</v>
      </c>
      <c r="AE68" s="15">
        <v>0.45414498756029509</v>
      </c>
      <c r="AF68" s="15">
        <v>0</v>
      </c>
      <c r="AG68" s="16">
        <f t="shared" si="15"/>
        <v>1</v>
      </c>
      <c r="AH68" t="b">
        <f t="shared" si="16"/>
        <v>1</v>
      </c>
      <c r="AI68" s="792"/>
    </row>
    <row r="69" spans="2:35" x14ac:dyDescent="0.25">
      <c r="B69" s="239"/>
      <c r="C69" s="161" t="s">
        <v>253</v>
      </c>
      <c r="D69" s="270" t="str">
        <f>Unit_Rates!G69</f>
        <v>Distribution system assets</v>
      </c>
      <c r="E69" s="270" t="str">
        <f>Unit_Rates!H69</f>
        <v>Augmentation</v>
      </c>
      <c r="F69" s="161" t="str">
        <f t="shared" si="12"/>
        <v>Distribution system assetsAugmentation</v>
      </c>
      <c r="G69" s="742"/>
      <c r="H69" s="430">
        <f>INDEX(Feeder_Vols!$E$7:$Q$13,MATCH($B$3,Feeder_Vols!$B$7:$B$12,0),MATCH(4,Feeder_Vols!$E$6:$Q$6,0))</f>
        <v>67</v>
      </c>
      <c r="I69" s="253" t="s">
        <v>315</v>
      </c>
      <c r="J69" s="270"/>
      <c r="K69" s="742"/>
      <c r="L69" s="742"/>
      <c r="M69" s="742"/>
      <c r="N69" s="742"/>
      <c r="O69" s="742"/>
      <c r="P69" s="747"/>
      <c r="Q69" s="571"/>
      <c r="R69" s="748"/>
      <c r="S69" s="748"/>
      <c r="T69" s="748"/>
      <c r="U69" s="748"/>
      <c r="V69" s="748"/>
      <c r="W69" s="748"/>
      <c r="X69" s="748"/>
      <c r="Y69" s="744"/>
      <c r="Z69" s="15">
        <v>0</v>
      </c>
      <c r="AA69" s="15">
        <v>0.17737095137749856</v>
      </c>
      <c r="AB69" s="15">
        <v>0.23284844579258887</v>
      </c>
      <c r="AC69" s="15">
        <v>0</v>
      </c>
      <c r="AD69" s="15">
        <v>0.16850874366568935</v>
      </c>
      <c r="AE69" s="15">
        <v>0.42127185916422333</v>
      </c>
      <c r="AF69" s="15">
        <v>0</v>
      </c>
      <c r="AG69" s="16">
        <f t="shared" si="15"/>
        <v>1</v>
      </c>
      <c r="AH69" t="b">
        <f t="shared" si="16"/>
        <v>1</v>
      </c>
      <c r="AI69" s="792"/>
    </row>
    <row r="70" spans="2:35" x14ac:dyDescent="0.25">
      <c r="B70" s="239"/>
      <c r="C70" s="161" t="s">
        <v>249</v>
      </c>
      <c r="D70" s="270" t="str">
        <f>Unit_Rates!G70</f>
        <v>Distribution system assets</v>
      </c>
      <c r="E70" s="270" t="str">
        <f>Unit_Rates!H70</f>
        <v>Augmentation</v>
      </c>
      <c r="F70" s="161" t="str">
        <f t="shared" si="12"/>
        <v>Distribution system assetsAugmentation</v>
      </c>
      <c r="G70" s="271">
        <f>Unit_Rates!I70</f>
        <v>17.106573023255812</v>
      </c>
      <c r="H70" s="430">
        <f>INDEX(Feeder_Vols!$E$7:$Q$13,MATCH($B$3,Feeder_Vols!$B$7:$B$12,0),MATCH(5,Feeder_Vols!$E$6:$Q$6,0))</f>
        <v>25</v>
      </c>
      <c r="I70" s="253" t="s">
        <v>316</v>
      </c>
      <c r="J70" s="270"/>
      <c r="K70" s="271">
        <f t="shared" ref="K70:K75" si="17">G70*H70</f>
        <v>427.6643255813953</v>
      </c>
      <c r="L70" s="271">
        <f t="shared" ref="L70:L75" si="18">SUMPRODUCT(R$5:X$5,R70:X70)/Thousands</f>
        <v>81.538001689468672</v>
      </c>
      <c r="M70" s="271">
        <f>$H70*Unit_Rates!K70</f>
        <v>0</v>
      </c>
      <c r="N70" s="271">
        <f>$H70*Unit_Rates!L70</f>
        <v>755.09580047009979</v>
      </c>
      <c r="O70" s="271">
        <f>$H70*Unit_Rates!M70</f>
        <v>95.752518833538502</v>
      </c>
      <c r="P70" s="216">
        <f t="shared" ref="P70:P75" si="19">SUM(K70:O70)</f>
        <v>1360.0506465745023</v>
      </c>
      <c r="Q70" s="14">
        <f>P70-H70*Unit_Rates!$E$70</f>
        <v>1.965112914432666</v>
      </c>
      <c r="R70" s="628">
        <f t="shared" ref="R70:R75" si="20">$AI70*Z70*$H70</f>
        <v>0</v>
      </c>
      <c r="S70" s="628">
        <f>$AI70*AA70*$H70</f>
        <v>34.999999999999993</v>
      </c>
      <c r="T70" s="628">
        <f t="shared" si="13"/>
        <v>133.17219074392548</v>
      </c>
      <c r="U70" s="628">
        <f t="shared" si="13"/>
        <v>0</v>
      </c>
      <c r="V70" s="628">
        <f t="shared" si="13"/>
        <v>96.374611722577654</v>
      </c>
      <c r="W70" s="628">
        <f t="shared" si="13"/>
        <v>240.9365293064441</v>
      </c>
      <c r="X70" s="628">
        <f t="shared" si="13"/>
        <v>0</v>
      </c>
      <c r="Y70" s="14">
        <f t="shared" si="14"/>
        <v>505.48333177294728</v>
      </c>
      <c r="Z70" s="15">
        <v>0</v>
      </c>
      <c r="AA70" s="15">
        <v>6.9240660967474346E-2</v>
      </c>
      <c r="AB70" s="15">
        <v>0.26345515741702774</v>
      </c>
      <c r="AC70" s="15">
        <v>0</v>
      </c>
      <c r="AD70" s="15">
        <v>0.19065833760442799</v>
      </c>
      <c r="AE70" s="15">
        <v>0.47664584401106991</v>
      </c>
      <c r="AF70" s="15">
        <v>0</v>
      </c>
      <c r="AG70" s="16">
        <f t="shared" si="15"/>
        <v>1</v>
      </c>
      <c r="AH70" t="b">
        <f t="shared" si="16"/>
        <v>1</v>
      </c>
      <c r="AI70" s="5">
        <v>20.21933327091789</v>
      </c>
    </row>
    <row r="71" spans="2:35" x14ac:dyDescent="0.25">
      <c r="B71" s="239"/>
      <c r="C71" s="270" t="s">
        <v>356</v>
      </c>
      <c r="D71" s="270" t="str">
        <f>Unit_Rates!G71</f>
        <v>Distribution system assets</v>
      </c>
      <c r="E71" s="270" t="str">
        <f>Unit_Rates!H71</f>
        <v>Augmentation</v>
      </c>
      <c r="F71" s="161" t="str">
        <f t="shared" si="12"/>
        <v>Distribution system assetsAugmentation</v>
      </c>
      <c r="G71" s="271">
        <f>Unit_Rates!I71</f>
        <v>0</v>
      </c>
      <c r="H71" s="430">
        <f>INDEX(Feeder_Vols!$E$7:$Q$13,MATCH($B$3,Feeder_Vols!$B$7:$B$12,0),MATCH(1,Feeder_Vols!$E$6:$Q$6,0))</f>
        <v>5</v>
      </c>
      <c r="I71" s="212" t="s">
        <v>313</v>
      </c>
      <c r="J71" s="270"/>
      <c r="K71" s="271">
        <f t="shared" si="17"/>
        <v>0</v>
      </c>
      <c r="L71" s="271">
        <f t="shared" si="18"/>
        <v>30.230978260869598</v>
      </c>
      <c r="M71" s="271">
        <f>$H71*Unit_Rates!K71</f>
        <v>0</v>
      </c>
      <c r="N71" s="271">
        <f>$H71*Unit_Rates!L71</f>
        <v>38.910616784630925</v>
      </c>
      <c r="O71" s="271">
        <f>$H71*Unit_Rates!M71</f>
        <v>0</v>
      </c>
      <c r="P71" s="216">
        <f t="shared" si="19"/>
        <v>69.141595045500523</v>
      </c>
      <c r="Q71" s="14">
        <f>P71-H71*Unit_Rates!$E$71</f>
        <v>-8.373356926183817E-2</v>
      </c>
      <c r="R71" s="628">
        <f t="shared" si="20"/>
        <v>0</v>
      </c>
      <c r="S71" s="628">
        <f t="shared" si="13"/>
        <v>0</v>
      </c>
      <c r="T71" s="628">
        <f t="shared" si="13"/>
        <v>0</v>
      </c>
      <c r="U71" s="628">
        <f t="shared" si="13"/>
        <v>0</v>
      </c>
      <c r="V71" s="628">
        <f t="shared" si="13"/>
        <v>0</v>
      </c>
      <c r="W71" s="628">
        <f t="shared" si="13"/>
        <v>0</v>
      </c>
      <c r="X71" s="628">
        <f t="shared" si="13"/>
        <v>231.99067868198813</v>
      </c>
      <c r="Y71" s="14">
        <f t="shared" si="14"/>
        <v>231.99067868198813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1</v>
      </c>
      <c r="AG71" s="16">
        <f t="shared" si="15"/>
        <v>1</v>
      </c>
      <c r="AH71" t="b">
        <f t="shared" si="16"/>
        <v>1</v>
      </c>
      <c r="AI71" s="5">
        <v>46.398135736397627</v>
      </c>
    </row>
    <row r="72" spans="2:35" x14ac:dyDescent="0.25">
      <c r="B72" s="239"/>
      <c r="C72" s="326" t="s">
        <v>354</v>
      </c>
      <c r="D72" s="270" t="str">
        <f>Unit_Rates!G72</f>
        <v>Distribution system assets</v>
      </c>
      <c r="E72" s="270" t="str">
        <f>Unit_Rates!H72</f>
        <v>Replacement</v>
      </c>
      <c r="F72" s="161" t="str">
        <f t="shared" si="12"/>
        <v>Distribution system assetsReplacement</v>
      </c>
      <c r="G72" s="271">
        <f>Unit_Rates!I72</f>
        <v>0</v>
      </c>
      <c r="H72" s="430">
        <f>INDEX(Feeder_Vols!$E$7:$Q$13,MATCH($B$3,Feeder_Vols!$B$7:$B$12,0),MATCH(1,Feeder_Vols!$E$6:$N$6,0))+INDEX(Feeder_Vols!$E$7:$N$13,MATCH($B$3,Feeder_Vols!$B$7:$B$12,0),MATCH(6,Feeder_Vols!$E$6:$Q$6,0))</f>
        <v>38</v>
      </c>
      <c r="I72" s="212" t="s">
        <v>358</v>
      </c>
      <c r="J72" s="270"/>
      <c r="K72" s="271">
        <f t="shared" si="17"/>
        <v>0</v>
      </c>
      <c r="L72" s="271">
        <f t="shared" si="18"/>
        <v>0</v>
      </c>
      <c r="M72" s="271">
        <f>$H72*Unit_Rates!K72</f>
        <v>0</v>
      </c>
      <c r="N72" s="271">
        <f>$H72*Unit_Rates!L72</f>
        <v>19.782976744186044</v>
      </c>
      <c r="O72" s="271">
        <f>$H72*Unit_Rates!M72</f>
        <v>0</v>
      </c>
      <c r="P72" s="216">
        <f t="shared" si="19"/>
        <v>19.782976744186044</v>
      </c>
      <c r="Q72" s="11">
        <f>P72-H72*Unit_Rates!$E72</f>
        <v>0</v>
      </c>
      <c r="R72" s="313"/>
      <c r="S72" s="313"/>
      <c r="T72" s="313"/>
      <c r="U72" s="313"/>
      <c r="V72" s="313"/>
      <c r="W72" s="313"/>
      <c r="X72" s="313"/>
      <c r="Y72" s="14">
        <f t="shared" si="14"/>
        <v>0</v>
      </c>
      <c r="Z72" s="15"/>
      <c r="AA72" s="15"/>
      <c r="AB72" s="15"/>
      <c r="AC72" s="15"/>
      <c r="AD72" s="15"/>
      <c r="AE72" s="15"/>
      <c r="AF72" s="15"/>
      <c r="AI72" s="5">
        <v>0</v>
      </c>
    </row>
    <row r="73" spans="2:35" x14ac:dyDescent="0.25">
      <c r="B73" s="239"/>
      <c r="C73" s="326" t="s">
        <v>689</v>
      </c>
      <c r="D73" s="270" t="str">
        <f>Unit_Rates!G73</f>
        <v>Distribution system assets</v>
      </c>
      <c r="E73" s="270" t="str">
        <f>Unit_Rates!H73</f>
        <v>Replacement</v>
      </c>
      <c r="F73" s="161" t="str">
        <f>D73&amp;E73</f>
        <v>Distribution system assetsReplacement</v>
      </c>
      <c r="G73" s="271">
        <f>Unit_Rates!I73</f>
        <v>0</v>
      </c>
      <c r="H73" s="430">
        <f>INDEX(Feeder_Vols!$E$7:$Q$13,MATCH($B$3,Feeder_Vols!$B$7:$B$12,0),MATCH(7,Feeder_Vols!$E$6:$Q$6,0))</f>
        <v>15</v>
      </c>
      <c r="I73" s="212" t="s">
        <v>355</v>
      </c>
      <c r="J73" s="270"/>
      <c r="K73" s="271">
        <f t="shared" si="17"/>
        <v>0</v>
      </c>
      <c r="L73" s="271">
        <f t="shared" si="18"/>
        <v>2.3590816423472742</v>
      </c>
      <c r="M73" s="271">
        <f>$H73*Unit_Rates!K73</f>
        <v>0</v>
      </c>
      <c r="N73" s="271">
        <f>$H73*Unit_Rates!L73</f>
        <v>43.810071348837198</v>
      </c>
      <c r="O73" s="271">
        <f>$H73*Unit_Rates!M73</f>
        <v>0</v>
      </c>
      <c r="P73" s="216">
        <f t="shared" si="19"/>
        <v>46.169152991184475</v>
      </c>
      <c r="Q73" s="14">
        <f>P73-H73*Unit_Rates!$E73</f>
        <v>0.11509607699041879</v>
      </c>
      <c r="R73" s="628">
        <f t="shared" ref="R73:X74" si="21">$AI73*Z73*$H73</f>
        <v>0</v>
      </c>
      <c r="S73" s="628">
        <f t="shared" si="21"/>
        <v>0</v>
      </c>
      <c r="T73" s="628">
        <f t="shared" si="21"/>
        <v>0</v>
      </c>
      <c r="U73" s="628">
        <f t="shared" si="21"/>
        <v>0</v>
      </c>
      <c r="V73" s="628">
        <f t="shared" si="21"/>
        <v>0</v>
      </c>
      <c r="W73" s="628">
        <f t="shared" si="21"/>
        <v>0</v>
      </c>
      <c r="X73" s="628">
        <f t="shared" si="21"/>
        <v>18.103448275862068</v>
      </c>
      <c r="Y73" s="14">
        <f>SUM(R73:X73)</f>
        <v>18.103448275862068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1</v>
      </c>
      <c r="AG73" s="16">
        <f>SUM(Z73:AF73)</f>
        <v>1</v>
      </c>
      <c r="AH73" t="b">
        <f>AG73=1</f>
        <v>1</v>
      </c>
      <c r="AI73" s="5">
        <v>1.2068965517241379</v>
      </c>
    </row>
    <row r="74" spans="2:35" x14ac:dyDescent="0.25">
      <c r="B74" s="239"/>
      <c r="C74" s="326" t="s">
        <v>699</v>
      </c>
      <c r="D74" s="270" t="str">
        <f>Unit_Rates!G74</f>
        <v>Distribution system assets</v>
      </c>
      <c r="E74" s="270" t="str">
        <f>Unit_Rates!H74</f>
        <v>Augmentation</v>
      </c>
      <c r="F74" s="161" t="str">
        <f>D74&amp;E74</f>
        <v>Distribution system assetsAugmentation</v>
      </c>
      <c r="G74" s="271">
        <f>Unit_Rates!I74</f>
        <v>11.725162831858405</v>
      </c>
      <c r="H74" s="430">
        <f>INDEX(Feeder_Vols!$E$7:$Q$13,MATCH($B$3,Feeder_Vols!$B$7:$B$12,0),MATCH(8,Feeder_Vols!$E$6:$Q$6,0))</f>
        <v>15</v>
      </c>
      <c r="I74" s="212" t="s">
        <v>698</v>
      </c>
      <c r="J74" s="270"/>
      <c r="K74" s="271">
        <f t="shared" si="17"/>
        <v>175.87744247787609</v>
      </c>
      <c r="L74" s="271">
        <f t="shared" si="18"/>
        <v>45</v>
      </c>
      <c r="M74" s="271">
        <f>$H74*Unit_Rates!K74</f>
        <v>22.5</v>
      </c>
      <c r="N74" s="271">
        <f>$H74*Unit_Rates!L74</f>
        <v>300</v>
      </c>
      <c r="O74" s="271">
        <f>$H74*Unit_Rates!M74</f>
        <v>0</v>
      </c>
      <c r="P74" s="216">
        <f t="shared" si="19"/>
        <v>543.37744247787612</v>
      </c>
      <c r="Q74" s="11">
        <f>P74-H74*Unit_Rates!$E74</f>
        <v>0</v>
      </c>
      <c r="R74" s="628">
        <f t="shared" si="21"/>
        <v>0</v>
      </c>
      <c r="S74" s="628">
        <f t="shared" si="21"/>
        <v>0</v>
      </c>
      <c r="T74" s="628">
        <f t="shared" si="21"/>
        <v>0</v>
      </c>
      <c r="U74" s="628">
        <f t="shared" si="21"/>
        <v>0</v>
      </c>
      <c r="V74" s="628">
        <f t="shared" si="21"/>
        <v>0</v>
      </c>
      <c r="W74" s="628">
        <f t="shared" si="21"/>
        <v>0</v>
      </c>
      <c r="X74" s="628">
        <f t="shared" si="21"/>
        <v>345.32724844707593</v>
      </c>
      <c r="Y74" s="14">
        <f>SUM(R74:X74)</f>
        <v>345.32724844707593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1</v>
      </c>
      <c r="AG74" s="16">
        <f>SUM(Z74:AF74)</f>
        <v>1</v>
      </c>
      <c r="AH74" t="b">
        <f>AG74=1</f>
        <v>1</v>
      </c>
      <c r="AI74" s="5">
        <v>23.021816563138394</v>
      </c>
    </row>
    <row r="75" spans="2:35" x14ac:dyDescent="0.25">
      <c r="B75" s="239"/>
      <c r="C75" s="326" t="s">
        <v>692</v>
      </c>
      <c r="D75" s="270" t="str">
        <f>Unit_Rates!G75</f>
        <v>Distribution system assets</v>
      </c>
      <c r="E75" s="270" t="str">
        <f>Unit_Rates!H75</f>
        <v>Augmentation</v>
      </c>
      <c r="F75" s="161" t="str">
        <f>D75&amp;E75</f>
        <v>Distribution system assetsAugmentation</v>
      </c>
      <c r="G75" s="271">
        <f>Unit_Rates!I75</f>
        <v>21.323700104130506</v>
      </c>
      <c r="H75" s="430">
        <f>INDEX(Feeder_Vols!$E$7:$Q$13,MATCH($B$3,Feeder_Vols!$B$7:$B$12,0),MATCH(9,Feeder_Vols!$E$6:$Q$6,0))</f>
        <v>1</v>
      </c>
      <c r="I75" s="212" t="s">
        <v>691</v>
      </c>
      <c r="J75" s="270"/>
      <c r="K75" s="321">
        <f t="shared" si="17"/>
        <v>21.323700104130506</v>
      </c>
      <c r="L75" s="321">
        <f t="shared" si="18"/>
        <v>6.8797885572139581</v>
      </c>
      <c r="M75" s="321">
        <f>$H75*Unit_Rates!K75</f>
        <v>4.3901735508503981</v>
      </c>
      <c r="N75" s="321">
        <f>$H75*Unit_Rates!L75</f>
        <v>23.832370704616444</v>
      </c>
      <c r="O75" s="321">
        <f>$H75*Unit_Rates!M75</f>
        <v>6.2716765012148539</v>
      </c>
      <c r="P75" s="217">
        <f t="shared" si="19"/>
        <v>62.697709418026164</v>
      </c>
      <c r="Q75" s="14">
        <f>P75-H75*Unit_Rates!$E75</f>
        <v>-1.9055594122377784E-2</v>
      </c>
      <c r="R75" s="628">
        <f t="shared" si="20"/>
        <v>13.025101164256439</v>
      </c>
      <c r="S75" s="628">
        <f t="shared" si="13"/>
        <v>13.942361809626611</v>
      </c>
      <c r="T75" s="628">
        <f t="shared" si="13"/>
        <v>15.998508096702862</v>
      </c>
      <c r="U75" s="628">
        <f t="shared" si="13"/>
        <v>0</v>
      </c>
      <c r="V75" s="628">
        <f t="shared" si="13"/>
        <v>0</v>
      </c>
      <c r="W75" s="628">
        <f t="shared" si="13"/>
        <v>0</v>
      </c>
      <c r="X75" s="628">
        <f t="shared" si="13"/>
        <v>0</v>
      </c>
      <c r="Y75" s="14">
        <f t="shared" si="14"/>
        <v>42.965971070585915</v>
      </c>
      <c r="Z75" s="15">
        <v>0.30314923274650013</v>
      </c>
      <c r="AA75" s="15">
        <v>0.32449777026385929</v>
      </c>
      <c r="AB75" s="15">
        <v>0.37235299698964064</v>
      </c>
      <c r="AC75" s="15">
        <v>0</v>
      </c>
      <c r="AD75" s="15">
        <v>0</v>
      </c>
      <c r="AE75" s="15">
        <v>0</v>
      </c>
      <c r="AF75" s="15">
        <v>0</v>
      </c>
      <c r="AG75" s="16">
        <f>SUM(Z75:AF75)</f>
        <v>1</v>
      </c>
      <c r="AH75" t="b">
        <f>AG75=1</f>
        <v>1</v>
      </c>
      <c r="AI75" s="5">
        <v>42.965971070585908</v>
      </c>
    </row>
    <row r="76" spans="2:35" x14ac:dyDescent="0.25">
      <c r="B76" s="239"/>
      <c r="C76" s="224" t="s">
        <v>317</v>
      </c>
      <c r="D76" s="224"/>
      <c r="E76" s="224"/>
      <c r="F76" s="224"/>
      <c r="G76" s="256"/>
      <c r="H76" s="219"/>
      <c r="I76" s="212"/>
      <c r="J76" s="161"/>
      <c r="K76" s="256">
        <v>624.86546816340183</v>
      </c>
      <c r="L76" s="256">
        <v>232.2086057695609</v>
      </c>
      <c r="M76" s="256">
        <v>151.85801582111392</v>
      </c>
      <c r="N76" s="256">
        <v>1463.0518092296684</v>
      </c>
      <c r="O76" s="256">
        <v>102.02419533475336</v>
      </c>
      <c r="P76" s="256">
        <v>2574.008094318498</v>
      </c>
      <c r="Q76" s="11"/>
      <c r="R76" s="309"/>
      <c r="S76" s="309"/>
      <c r="T76" s="309"/>
      <c r="U76" s="309"/>
      <c r="V76" s="309"/>
      <c r="W76" s="309"/>
      <c r="X76" s="309"/>
      <c r="AI76" s="5"/>
    </row>
    <row r="77" spans="2:35" x14ac:dyDescent="0.25">
      <c r="B77" s="239" t="s">
        <v>311</v>
      </c>
      <c r="C77" s="161"/>
      <c r="D77" s="161"/>
      <c r="E77" s="161"/>
      <c r="F77" s="161"/>
      <c r="G77" s="216"/>
      <c r="H77" s="219"/>
      <c r="I77" s="212"/>
      <c r="J77" s="161"/>
      <c r="K77" s="256"/>
      <c r="L77" s="256"/>
      <c r="M77" s="256"/>
      <c r="N77" s="256"/>
      <c r="O77" s="256"/>
      <c r="P77" s="216"/>
      <c r="R77" s="309"/>
      <c r="S77" s="309"/>
      <c r="T77" s="309"/>
      <c r="U77" s="309"/>
      <c r="V77" s="309"/>
      <c r="W77" s="309"/>
      <c r="X77" s="309"/>
      <c r="Y77" s="14"/>
      <c r="AI77" s="5"/>
    </row>
    <row r="78" spans="2:35" x14ac:dyDescent="0.25">
      <c r="B78" s="239"/>
      <c r="C78" s="161" t="s">
        <v>280</v>
      </c>
      <c r="D78" s="161" t="str">
        <f>Unit_Rates!G83</f>
        <v>Distribution system assets</v>
      </c>
      <c r="E78" s="161" t="str">
        <f>Unit_Rates!H83</f>
        <v>Replacement</v>
      </c>
      <c r="F78" s="161" t="str">
        <f>D78&amp;E78</f>
        <v>Distribution system assetsReplacement</v>
      </c>
      <c r="G78" s="216">
        <f>Unit_Rates!I83</f>
        <v>0.30495261811294533</v>
      </c>
      <c r="H78" s="431">
        <f>INDEX(Feeder_Vols!$B$18:$D$23,MATCH($B$3,Feeder_Vols!$B$18:$B$23,0),3)</f>
        <v>1281</v>
      </c>
      <c r="I78" s="254" t="s">
        <v>308</v>
      </c>
      <c r="J78" s="161"/>
      <c r="K78" s="256">
        <f>G78*H78</f>
        <v>390.64430380268294</v>
      </c>
      <c r="L78" s="256">
        <f>SUMPRODUCT(R$5:X$5,R78:X78)/Thousands</f>
        <v>199.81250945218281</v>
      </c>
      <c r="M78" s="256">
        <f>$H78*Unit_Rates!K83</f>
        <v>0</v>
      </c>
      <c r="N78" s="256">
        <f>$H78*Unit_Rates!L83</f>
        <v>748.42784924071748</v>
      </c>
      <c r="O78" s="256">
        <f>$H78*Unit_Rates!M83</f>
        <v>0</v>
      </c>
      <c r="P78" s="216">
        <f>SUM(K78:O78)</f>
        <v>1338.8846624955831</v>
      </c>
      <c r="Q78" s="277">
        <f>P78-H78*Unit_Rates!$E$83</f>
        <v>4.2403359220350012</v>
      </c>
      <c r="R78" s="628">
        <f t="shared" ref="R78:X78" si="22">$AI78*Z78*$H78</f>
        <v>35.593904485939284</v>
      </c>
      <c r="S78" s="628">
        <f t="shared" si="22"/>
        <v>0</v>
      </c>
      <c r="T78" s="628">
        <f t="shared" si="22"/>
        <v>444.314676585021</v>
      </c>
      <c r="U78" s="628">
        <f t="shared" si="22"/>
        <v>0</v>
      </c>
      <c r="V78" s="628">
        <f t="shared" si="22"/>
        <v>0</v>
      </c>
      <c r="W78" s="628">
        <f t="shared" si="22"/>
        <v>0</v>
      </c>
      <c r="X78" s="628">
        <f t="shared" si="22"/>
        <v>903.57141892903985</v>
      </c>
      <c r="Y78" s="14">
        <f t="shared" ref="Y78:Y83" si="23">SUM(R78:X78)</f>
        <v>1383.48</v>
      </c>
      <c r="Z78" s="15">
        <v>2.5727805595989302E-2</v>
      </c>
      <c r="AA78" s="15">
        <v>0</v>
      </c>
      <c r="AB78" s="15">
        <v>0.32115728206047139</v>
      </c>
      <c r="AC78" s="15">
        <v>0</v>
      </c>
      <c r="AD78" s="15">
        <v>0</v>
      </c>
      <c r="AE78" s="15">
        <v>0</v>
      </c>
      <c r="AF78" s="15">
        <v>0.65311491234353936</v>
      </c>
      <c r="AG78" s="16">
        <f>SUM(Z78:AF78)</f>
        <v>1</v>
      </c>
      <c r="AH78" t="b">
        <f>AG78=1</f>
        <v>1</v>
      </c>
      <c r="AI78" s="5">
        <v>1.08</v>
      </c>
    </row>
    <row r="79" spans="2:35" x14ac:dyDescent="0.25">
      <c r="B79" s="239"/>
      <c r="C79" s="161" t="s">
        <v>495</v>
      </c>
      <c r="D79" s="161" t="str">
        <f>Unit_Rates!G84</f>
        <v>Distribution system assets</v>
      </c>
      <c r="E79" s="161" t="str">
        <f>Unit_Rates!H84</f>
        <v>Replacement</v>
      </c>
      <c r="F79" s="161" t="str">
        <f>D79&amp;E79</f>
        <v>Distribution system assetsReplacement</v>
      </c>
      <c r="G79" s="216">
        <f>Unit_Rates!I84</f>
        <v>0</v>
      </c>
      <c r="H79" s="431">
        <f>INDEX(Feeder_Vols!$H$18:$H$23,MATCH($B$3,Feeder_Vols!$G$18:$G$23,0),1)</f>
        <v>5</v>
      </c>
      <c r="I79" s="254" t="s">
        <v>308</v>
      </c>
      <c r="J79" s="161"/>
      <c r="K79" s="256">
        <f>G79*H79</f>
        <v>0</v>
      </c>
      <c r="L79" s="256">
        <f>SUMPRODUCT(R$5:X$5,R79:X79)/Thousands</f>
        <v>1.4643510054844622</v>
      </c>
      <c r="M79" s="256">
        <f>$H79*Unit_Rates!K86</f>
        <v>0</v>
      </c>
      <c r="N79" s="256">
        <f>$H79*Unit_Rates!L84</f>
        <v>0</v>
      </c>
      <c r="O79" s="256">
        <f>$H79*Unit_Rates!M86</f>
        <v>0</v>
      </c>
      <c r="P79" s="216">
        <f>SUM(K79:O79)</f>
        <v>1.4643510054844622</v>
      </c>
      <c r="Q79" s="14">
        <f>P79-H79*Unit_Rates!$E$84</f>
        <v>-8.0246851232725902E-3</v>
      </c>
      <c r="R79" s="628">
        <f t="shared" ref="R79:X80" si="24">$AI79*Z79*$H79</f>
        <v>0</v>
      </c>
      <c r="S79" s="628">
        <f t="shared" si="24"/>
        <v>0</v>
      </c>
      <c r="T79" s="628">
        <f t="shared" si="24"/>
        <v>0</v>
      </c>
      <c r="U79" s="628">
        <f t="shared" si="24"/>
        <v>0</v>
      </c>
      <c r="V79" s="628">
        <f t="shared" si="24"/>
        <v>9.241233616313199</v>
      </c>
      <c r="W79" s="628">
        <f t="shared" si="24"/>
        <v>0</v>
      </c>
      <c r="X79" s="628">
        <f t="shared" si="24"/>
        <v>0</v>
      </c>
      <c r="Y79" s="14">
        <f t="shared" si="23"/>
        <v>9.241233616313199</v>
      </c>
      <c r="Z79" s="15"/>
      <c r="AA79" s="15"/>
      <c r="AB79" s="15"/>
      <c r="AC79" s="15"/>
      <c r="AD79" s="15">
        <v>1</v>
      </c>
      <c r="AE79" s="15"/>
      <c r="AF79" s="15"/>
      <c r="AG79" s="16">
        <f>SUM(Z79:AF79)</f>
        <v>1</v>
      </c>
      <c r="AH79" t="b">
        <f>AG79=1</f>
        <v>1</v>
      </c>
      <c r="AI79" s="47">
        <v>1.8482467232626396</v>
      </c>
    </row>
    <row r="80" spans="2:35" x14ac:dyDescent="0.25">
      <c r="B80" s="239"/>
      <c r="C80" s="161" t="s">
        <v>496</v>
      </c>
      <c r="D80" s="161" t="str">
        <f>Unit_Rates!G85</f>
        <v>Distribution system assets</v>
      </c>
      <c r="E80" s="161" t="str">
        <f>Unit_Rates!H85</f>
        <v>Replacement</v>
      </c>
      <c r="F80" s="161" t="str">
        <f>D80&amp;E80</f>
        <v>Distribution system assetsReplacement</v>
      </c>
      <c r="G80" s="216">
        <f>Unit_Rates!I85</f>
        <v>0</v>
      </c>
      <c r="H80" s="431">
        <f>INDEX(Feeder_Vols!$I$18:$I$23,MATCH($B$3,Feeder_Vols!$G$18:$G$23,0),1)</f>
        <v>5</v>
      </c>
      <c r="I80" s="254" t="s">
        <v>308</v>
      </c>
      <c r="J80" s="161"/>
      <c r="K80" s="256">
        <f>G80*H80</f>
        <v>0</v>
      </c>
      <c r="L80" s="256">
        <f>SUMPRODUCT(R$5:X$5,R80:X80)/Thousands</f>
        <v>48.811700182815336</v>
      </c>
      <c r="M80" s="256"/>
      <c r="N80" s="256">
        <f>$H80*Unit_Rates!L85</f>
        <v>0</v>
      </c>
      <c r="O80" s="256"/>
      <c r="P80" s="216">
        <f>SUM(K80:O80)</f>
        <v>48.811700182815336</v>
      </c>
      <c r="Q80" s="14">
        <f>P80-H80*Unit_Rates!$E$85</f>
        <v>-0.26748950410915739</v>
      </c>
      <c r="R80" s="628">
        <f t="shared" si="24"/>
        <v>0</v>
      </c>
      <c r="S80" s="628">
        <f t="shared" si="24"/>
        <v>0</v>
      </c>
      <c r="T80" s="628">
        <f t="shared" si="24"/>
        <v>0</v>
      </c>
      <c r="U80" s="628">
        <f t="shared" si="24"/>
        <v>0</v>
      </c>
      <c r="V80" s="628">
        <f t="shared" si="24"/>
        <v>308.04112054377288</v>
      </c>
      <c r="W80" s="628">
        <f t="shared" si="24"/>
        <v>0</v>
      </c>
      <c r="X80" s="628">
        <f t="shared" si="24"/>
        <v>0</v>
      </c>
      <c r="Y80" s="14">
        <f t="shared" si="23"/>
        <v>308.04112054377288</v>
      </c>
      <c r="Z80" s="15"/>
      <c r="AA80" s="15"/>
      <c r="AB80" s="15"/>
      <c r="AC80" s="15"/>
      <c r="AD80" s="15">
        <v>1</v>
      </c>
      <c r="AE80" s="15"/>
      <c r="AF80" s="15"/>
      <c r="AG80" s="16">
        <f>SUM(Z80:AF80)</f>
        <v>1</v>
      </c>
      <c r="AH80" t="b">
        <f>AG80=1</f>
        <v>1</v>
      </c>
      <c r="AI80" s="47">
        <v>61.608224108754577</v>
      </c>
    </row>
    <row r="81" spans="2:35" x14ac:dyDescent="0.25">
      <c r="B81" s="239"/>
      <c r="C81" s="161" t="s">
        <v>497</v>
      </c>
      <c r="D81" s="161" t="str">
        <f>Unit_Rates!G86</f>
        <v>Distribution system assets</v>
      </c>
      <c r="E81" s="161" t="str">
        <f>Unit_Rates!H86</f>
        <v>Replacement</v>
      </c>
      <c r="F81" s="161" t="str">
        <f>D81&amp;E81</f>
        <v>Distribution system assetsReplacement</v>
      </c>
      <c r="G81" s="216">
        <f>Unit_Rates!I86</f>
        <v>4.9079189686924494</v>
      </c>
      <c r="H81" s="431">
        <f>INDEX(Feeder_Vols!$J$18:$J$23,MATCH($B$3,Feeder_Vols!$G$18:$G$23,0),1)</f>
        <v>6</v>
      </c>
      <c r="I81" s="254" t="s">
        <v>308</v>
      </c>
      <c r="J81" s="161"/>
      <c r="K81" s="256">
        <f>G81*H81</f>
        <v>29.447513812154696</v>
      </c>
      <c r="L81" s="256">
        <f>SUMPRODUCT(R$5:X$5,R81:X81)/Thousands</f>
        <v>0</v>
      </c>
      <c r="M81" s="256"/>
      <c r="N81" s="256">
        <f>$H81*Unit_Rates!L86</f>
        <v>95.704419889502759</v>
      </c>
      <c r="O81" s="256"/>
      <c r="P81" s="216">
        <f>SUM(K81:O81)</f>
        <v>125.15193370165746</v>
      </c>
      <c r="Q81" s="11">
        <f>P81-H81*Unit_Rates!$E$86</f>
        <v>0</v>
      </c>
      <c r="R81" s="313"/>
      <c r="S81" s="313"/>
      <c r="T81" s="313"/>
      <c r="U81" s="313"/>
      <c r="V81" s="313"/>
      <c r="W81" s="313"/>
      <c r="X81" s="313"/>
      <c r="Y81" s="14">
        <f t="shared" si="23"/>
        <v>0</v>
      </c>
      <c r="Z81" s="15"/>
      <c r="AA81" s="15"/>
      <c r="AB81" s="15"/>
      <c r="AC81" s="15"/>
      <c r="AD81" s="15"/>
      <c r="AE81" s="15"/>
      <c r="AF81" s="15"/>
      <c r="AG81" s="16"/>
      <c r="AI81" s="5"/>
    </row>
    <row r="82" spans="2:35" x14ac:dyDescent="0.25">
      <c r="B82" s="239"/>
      <c r="C82" s="161" t="s">
        <v>523</v>
      </c>
      <c r="D82" s="161" t="str">
        <f>Unit_Rates!G87</f>
        <v>Distribution system assets</v>
      </c>
      <c r="E82" s="161" t="str">
        <f>Unit_Rates!H87</f>
        <v>Replacement</v>
      </c>
      <c r="F82" s="161" t="str">
        <f>D82&amp;E82</f>
        <v>Distribution system assetsReplacement</v>
      </c>
      <c r="G82" s="216">
        <f>Unit_Rates!I87</f>
        <v>4.7168141592920348E-2</v>
      </c>
      <c r="H82" s="431">
        <f>INDEX(Feeder_Vols!$K$18:$K$23,MATCH($B$3,Feeder_Vols!$G$18:$G$23,0),1)</f>
        <v>3224</v>
      </c>
      <c r="I82" s="254" t="s">
        <v>494</v>
      </c>
      <c r="J82" s="161"/>
      <c r="K82" s="256">
        <f>G82*H82</f>
        <v>152.07008849557519</v>
      </c>
      <c r="L82" s="256">
        <f>SUMPRODUCT(R$5:X$5,R82:X82)/Thousands</f>
        <v>0</v>
      </c>
      <c r="M82" s="256"/>
      <c r="N82" s="256">
        <f>$H82*Unit_Rates!L87</f>
        <v>1478.7410836995309</v>
      </c>
      <c r="O82" s="256"/>
      <c r="P82" s="216">
        <f>SUM(K82:O82)</f>
        <v>1630.8111721951061</v>
      </c>
      <c r="Q82" s="11">
        <f>P82-H82*Unit_Rates!$E$87</f>
        <v>0</v>
      </c>
      <c r="R82" s="313"/>
      <c r="S82" s="313"/>
      <c r="T82" s="313"/>
      <c r="U82" s="313"/>
      <c r="V82" s="313"/>
      <c r="W82" s="313"/>
      <c r="X82" s="313"/>
      <c r="Y82" s="14">
        <f t="shared" si="23"/>
        <v>0</v>
      </c>
      <c r="Z82" s="15"/>
      <c r="AA82" s="15"/>
      <c r="AB82" s="15"/>
      <c r="AC82" s="15"/>
      <c r="AD82" s="15"/>
      <c r="AE82" s="15"/>
      <c r="AF82" s="15"/>
      <c r="AG82" s="16"/>
      <c r="AI82" s="5"/>
    </row>
    <row r="83" spans="2:35" ht="12.75" customHeight="1" x14ac:dyDescent="0.25">
      <c r="B83" s="239"/>
      <c r="C83" s="224"/>
      <c r="D83" s="161"/>
      <c r="E83" s="161"/>
      <c r="F83" s="161"/>
      <c r="G83" s="216"/>
      <c r="H83" s="718"/>
      <c r="I83" s="254"/>
      <c r="J83" s="161"/>
      <c r="K83" s="256"/>
      <c r="L83" s="256"/>
      <c r="M83" s="256"/>
      <c r="N83" s="256"/>
      <c r="O83" s="256"/>
      <c r="P83" s="216"/>
      <c r="Q83" s="11"/>
      <c r="R83" s="313"/>
      <c r="S83" s="313"/>
      <c r="T83" s="313"/>
      <c r="U83" s="313"/>
      <c r="V83" s="313"/>
      <c r="W83" s="313"/>
      <c r="X83" s="313"/>
      <c r="Y83" s="14">
        <f t="shared" si="23"/>
        <v>0</v>
      </c>
      <c r="Z83" s="15"/>
      <c r="AA83" s="15"/>
      <c r="AB83" s="15"/>
      <c r="AC83" s="15"/>
      <c r="AD83" s="15"/>
      <c r="AE83" s="15"/>
      <c r="AF83" s="15"/>
      <c r="AG83" s="16"/>
      <c r="AI83" s="5"/>
    </row>
    <row r="84" spans="2:35" x14ac:dyDescent="0.25">
      <c r="B84" s="239" t="s">
        <v>46</v>
      </c>
      <c r="C84" s="161"/>
      <c r="D84" s="161"/>
      <c r="E84" s="161"/>
      <c r="F84" s="161"/>
      <c r="G84" s="216"/>
      <c r="H84" s="219"/>
      <c r="I84" s="212"/>
      <c r="J84" s="161"/>
      <c r="K84" s="256"/>
      <c r="L84" s="256"/>
      <c r="M84" s="256"/>
      <c r="N84" s="256"/>
      <c r="O84" s="256"/>
      <c r="P84" s="216"/>
      <c r="R84" s="312"/>
      <c r="S84" s="309"/>
      <c r="T84" s="309"/>
      <c r="U84" s="309"/>
      <c r="V84" s="309"/>
      <c r="W84" s="309"/>
      <c r="X84" s="309"/>
      <c r="Y84" s="14"/>
      <c r="Z84" s="15"/>
      <c r="AA84" s="15"/>
      <c r="AB84" s="15"/>
      <c r="AC84" s="15"/>
      <c r="AD84" s="15"/>
      <c r="AE84" s="15"/>
      <c r="AF84" s="15"/>
      <c r="AI84" s="5"/>
    </row>
    <row r="85" spans="2:35" x14ac:dyDescent="0.25">
      <c r="B85" s="239"/>
      <c r="C85" s="161" t="s">
        <v>237</v>
      </c>
      <c r="D85" s="161" t="str">
        <f>Unit_Rates!G93</f>
        <v>Distribution system assets</v>
      </c>
      <c r="E85" s="161" t="str">
        <f>Unit_Rates!H93</f>
        <v>Replacement</v>
      </c>
      <c r="F85" s="161" t="str">
        <f>D85&amp;E85</f>
        <v>Distribution system assetsReplacement</v>
      </c>
      <c r="G85" s="216">
        <f>Unit_Rates!I93</f>
        <v>14.150442477876103</v>
      </c>
      <c r="H85" s="432">
        <f>INDEX(Feeder_Vols!$C$29:$F$34,MATCH($B$3,Feeder_Vols!$B$29:$B$34,0),1)</f>
        <v>5</v>
      </c>
      <c r="I85" s="252" t="s">
        <v>308</v>
      </c>
      <c r="J85" s="161"/>
      <c r="K85" s="256">
        <f>G85*H85</f>
        <v>70.752212389380517</v>
      </c>
      <c r="L85" s="256">
        <f>SUMPRODUCT(R$5:X$5,R85:X85)/Thousands</f>
        <v>11.544781663615318</v>
      </c>
      <c r="M85" s="256">
        <f>$H85*Unit_Rates!K93</f>
        <v>22.015996283367706</v>
      </c>
      <c r="N85" s="256">
        <f>$H85*Unit_Rates!L93</f>
        <v>150.72305414541827</v>
      </c>
      <c r="O85" s="256">
        <f>$H85*Unit_Rates!M93</f>
        <v>0</v>
      </c>
      <c r="P85" s="216">
        <f>SUM(K85:O85)</f>
        <v>255.03604448178183</v>
      </c>
      <c r="Q85" s="277">
        <f>P85-(H85*Unit_Rates!$E$93)</f>
        <v>4.513887488775481E-2</v>
      </c>
      <c r="R85" s="628">
        <f t="shared" ref="R85:X88" si="25">$AI85*Z85*$H85</f>
        <v>21.857059681022662</v>
      </c>
      <c r="S85" s="628">
        <f t="shared" si="25"/>
        <v>23.396289236024259</v>
      </c>
      <c r="T85" s="628">
        <f t="shared" si="25"/>
        <v>26.846651082953091</v>
      </c>
      <c r="U85" s="628">
        <f t="shared" si="25"/>
        <v>0</v>
      </c>
      <c r="V85" s="628">
        <f t="shared" si="25"/>
        <v>0</v>
      </c>
      <c r="W85" s="628">
        <f t="shared" si="25"/>
        <v>0</v>
      </c>
      <c r="X85" s="628">
        <f t="shared" si="25"/>
        <v>0</v>
      </c>
      <c r="Y85" s="14">
        <f t="shared" ref="Y85:Y93" si="26">SUM(R85:X85)</f>
        <v>72.100000000000009</v>
      </c>
      <c r="Z85" s="15">
        <v>0.30314923274650013</v>
      </c>
      <c r="AA85" s="15">
        <v>0.32449777026385929</v>
      </c>
      <c r="AB85" s="15">
        <v>0.37235299698964058</v>
      </c>
      <c r="AC85" s="15">
        <v>0</v>
      </c>
      <c r="AD85" s="15">
        <v>0</v>
      </c>
      <c r="AE85" s="15">
        <v>0</v>
      </c>
      <c r="AF85" s="15">
        <v>0</v>
      </c>
      <c r="AG85" s="16">
        <f>SUM(Z85:AF85)</f>
        <v>1</v>
      </c>
      <c r="AH85" t="b">
        <f t="shared" ref="AH85:AH93" si="27">AG85=1</f>
        <v>1</v>
      </c>
      <c r="AI85" s="5">
        <v>14.420000000000002</v>
      </c>
    </row>
    <row r="86" spans="2:35" x14ac:dyDescent="0.25">
      <c r="B86" s="239"/>
      <c r="C86" s="161" t="s">
        <v>239</v>
      </c>
      <c r="D86" s="161" t="str">
        <f>Unit_Rates!G94</f>
        <v>Distribution system assets</v>
      </c>
      <c r="E86" s="161" t="str">
        <f>Unit_Rates!H94</f>
        <v>Replacement</v>
      </c>
      <c r="F86" s="161" t="str">
        <f>D86&amp;E86</f>
        <v>Distribution system assetsReplacement</v>
      </c>
      <c r="G86" s="216">
        <f>Unit_Rates!I94</f>
        <v>21.323700104130506</v>
      </c>
      <c r="H86" s="432">
        <f>INDEX(Feeder_Vols!$C$29:$F$34,MATCH($B$3,Feeder_Vols!$B$29:$B$34,0),2)</f>
        <v>6</v>
      </c>
      <c r="I86" s="252" t="s">
        <v>308</v>
      </c>
      <c r="J86" s="161"/>
      <c r="K86" s="256">
        <f>G86*H86</f>
        <v>127.94220062478303</v>
      </c>
      <c r="L86" s="256">
        <f>SUMPRODUCT(R$5:X$5,R86:X86)/Thousands</f>
        <v>41.278731343283752</v>
      </c>
      <c r="M86" s="256">
        <f>$H86*Unit_Rates!K94</f>
        <v>26.341041305102387</v>
      </c>
      <c r="N86" s="256">
        <f>$H86*Unit_Rates!L94</f>
        <v>142.99422422769868</v>
      </c>
      <c r="O86" s="256">
        <f>$H86*Unit_Rates!M94</f>
        <v>37.63005900728912</v>
      </c>
      <c r="P86" s="216">
        <f>SUM(K86:O86)</f>
        <v>376.18625650815693</v>
      </c>
      <c r="Q86" s="19">
        <f>P86-(H86*Unit_Rates!$E$94)</f>
        <v>-0.11433356473435197</v>
      </c>
      <c r="R86" s="628">
        <f t="shared" si="25"/>
        <v>78.15060698553863</v>
      </c>
      <c r="S86" s="628">
        <f t="shared" si="25"/>
        <v>83.654170857759667</v>
      </c>
      <c r="T86" s="628">
        <f t="shared" si="25"/>
        <v>95.991048580217168</v>
      </c>
      <c r="U86" s="628">
        <f t="shared" si="25"/>
        <v>0</v>
      </c>
      <c r="V86" s="628">
        <f t="shared" si="25"/>
        <v>0</v>
      </c>
      <c r="W86" s="628">
        <f t="shared" si="25"/>
        <v>0</v>
      </c>
      <c r="X86" s="628">
        <f t="shared" si="25"/>
        <v>0</v>
      </c>
      <c r="Y86" s="14">
        <f t="shared" si="26"/>
        <v>257.79582642351545</v>
      </c>
      <c r="Z86" s="15">
        <v>0.30314923274650013</v>
      </c>
      <c r="AA86" s="15">
        <v>0.32449777026385929</v>
      </c>
      <c r="AB86" s="15">
        <v>0.37235299698964064</v>
      </c>
      <c r="AC86" s="15">
        <v>0</v>
      </c>
      <c r="AD86" s="15">
        <v>0</v>
      </c>
      <c r="AE86" s="15">
        <v>0</v>
      </c>
      <c r="AF86" s="15">
        <v>0</v>
      </c>
      <c r="AG86" s="16">
        <f>SUM(Z86:AF86)</f>
        <v>1</v>
      </c>
      <c r="AH86" t="b">
        <f t="shared" si="27"/>
        <v>1</v>
      </c>
      <c r="AI86" s="5">
        <v>42.965971070585908</v>
      </c>
    </row>
    <row r="87" spans="2:35" x14ac:dyDescent="0.25">
      <c r="B87" s="239"/>
      <c r="C87" s="161" t="s">
        <v>241</v>
      </c>
      <c r="D87" s="161" t="str">
        <f>Unit_Rates!G95</f>
        <v>Distribution system assets</v>
      </c>
      <c r="E87" s="161" t="str">
        <f>Unit_Rates!H95</f>
        <v>Replacement</v>
      </c>
      <c r="F87" s="161" t="str">
        <f>D87&amp;E87</f>
        <v>Distribution system assetsReplacement</v>
      </c>
      <c r="G87" s="216">
        <f>Unit_Rates!I95</f>
        <v>14.297621705426357</v>
      </c>
      <c r="H87" s="432">
        <f>INDEX(Feeder_Vols!$C$29:$F$34,MATCH($B$3,Feeder_Vols!$B$29:$B$34,0),3)</f>
        <v>0</v>
      </c>
      <c r="I87" s="252" t="s">
        <v>308</v>
      </c>
      <c r="J87" s="161"/>
      <c r="K87" s="256">
        <f>G87*H87</f>
        <v>0</v>
      </c>
      <c r="L87" s="256">
        <f>SUMPRODUCT(R$5:X$5,R87:X87)/Thousands</f>
        <v>0</v>
      </c>
      <c r="M87" s="256">
        <f>$H87*Unit_Rates!K95</f>
        <v>0</v>
      </c>
      <c r="N87" s="256">
        <f>$H87*Unit_Rates!L95</f>
        <v>0</v>
      </c>
      <c r="O87" s="256">
        <f>$H87*Unit_Rates!M95</f>
        <v>0</v>
      </c>
      <c r="P87" s="216">
        <f>SUM(K87:O87)</f>
        <v>0</v>
      </c>
      <c r="Q87" s="19">
        <f>P87-(H87*Unit_Rates!$E$95)</f>
        <v>0</v>
      </c>
      <c r="R87" s="628">
        <f t="shared" si="25"/>
        <v>0</v>
      </c>
      <c r="S87" s="628">
        <f t="shared" si="25"/>
        <v>0</v>
      </c>
      <c r="T87" s="628">
        <f t="shared" si="25"/>
        <v>0</v>
      </c>
      <c r="U87" s="628">
        <f t="shared" si="25"/>
        <v>0</v>
      </c>
      <c r="V87" s="628">
        <f t="shared" si="25"/>
        <v>0</v>
      </c>
      <c r="W87" s="628">
        <f t="shared" si="25"/>
        <v>0</v>
      </c>
      <c r="X87" s="628">
        <f t="shared" si="25"/>
        <v>0</v>
      </c>
      <c r="Y87" s="14">
        <f t="shared" si="26"/>
        <v>0</v>
      </c>
      <c r="Z87" s="15">
        <v>0.11818857666880556</v>
      </c>
      <c r="AA87" s="15">
        <v>0.49778875974979209</v>
      </c>
      <c r="AB87" s="15">
        <v>0.3840226635814023</v>
      </c>
      <c r="AC87" s="15">
        <v>0</v>
      </c>
      <c r="AD87" s="15">
        <v>0</v>
      </c>
      <c r="AE87" s="15">
        <v>0</v>
      </c>
      <c r="AF87" s="15">
        <v>0</v>
      </c>
      <c r="AG87" s="16">
        <f>SUM(Z87:AF87)</f>
        <v>1</v>
      </c>
      <c r="AH87" t="b">
        <f t="shared" si="27"/>
        <v>1</v>
      </c>
      <c r="AI87" s="5">
        <v>144.70421211980818</v>
      </c>
    </row>
    <row r="88" spans="2:35" x14ac:dyDescent="0.25">
      <c r="B88" s="239"/>
      <c r="C88" s="161" t="s">
        <v>243</v>
      </c>
      <c r="D88" s="161" t="str">
        <f>Unit_Rates!G96</f>
        <v>Distribution system assets</v>
      </c>
      <c r="E88" s="161" t="str">
        <f>Unit_Rates!H96</f>
        <v>Replacement</v>
      </c>
      <c r="F88" s="161" t="str">
        <f>D88&amp;E88</f>
        <v>Distribution system assetsReplacement</v>
      </c>
      <c r="G88" s="216">
        <f>Unit_Rates!I96</f>
        <v>182.28643631627907</v>
      </c>
      <c r="H88" s="432">
        <f>INDEX(Feeder_Vols!$C$29:$F$34,MATCH($B$3,Feeder_Vols!$B$29:$B$34,0),4)</f>
        <v>1</v>
      </c>
      <c r="I88" s="252" t="s">
        <v>308</v>
      </c>
      <c r="J88" s="161"/>
      <c r="K88" s="256">
        <f>G88*H88</f>
        <v>182.28643631627907</v>
      </c>
      <c r="L88" s="256">
        <f>SUMPRODUCT(R$5:X$5,R88:X88)/Thousands</f>
        <v>35.567784051893007</v>
      </c>
      <c r="M88" s="256">
        <f>$H88*Unit_Rates!K96</f>
        <v>0</v>
      </c>
      <c r="N88" s="256">
        <f>$H88*Unit_Rates!L96</f>
        <v>120.97525790697672</v>
      </c>
      <c r="O88" s="256">
        <f>$H88*Unit_Rates!M96</f>
        <v>0</v>
      </c>
      <c r="P88" s="216">
        <f>SUM(K88:O88)</f>
        <v>338.8294782751488</v>
      </c>
      <c r="Q88" s="19">
        <f>P88-(H88*Unit_Rates!$E$96)</f>
        <v>1.7352991681721051</v>
      </c>
      <c r="R88" s="628">
        <f t="shared" si="25"/>
        <v>154.16159539473685</v>
      </c>
      <c r="S88" s="628">
        <f t="shared" si="25"/>
        <v>10.680017605633802</v>
      </c>
      <c r="T88" s="628">
        <f t="shared" si="25"/>
        <v>55.569696969696963</v>
      </c>
      <c r="U88" s="628">
        <f t="shared" si="25"/>
        <v>0</v>
      </c>
      <c r="V88" s="628">
        <f t="shared" si="25"/>
        <v>0</v>
      </c>
      <c r="W88" s="628">
        <f t="shared" si="25"/>
        <v>0</v>
      </c>
      <c r="X88" s="628">
        <f t="shared" si="25"/>
        <v>0</v>
      </c>
      <c r="Y88" s="14">
        <f t="shared" si="26"/>
        <v>220.41130997006761</v>
      </c>
      <c r="Z88" s="15">
        <v>0.69942688247564233</v>
      </c>
      <c r="AA88" s="15">
        <v>4.8454943655496512E-2</v>
      </c>
      <c r="AB88" s="15">
        <v>0.25211817386886121</v>
      </c>
      <c r="AC88" s="15">
        <v>0</v>
      </c>
      <c r="AD88" s="15">
        <v>0</v>
      </c>
      <c r="AE88" s="15">
        <v>0</v>
      </c>
      <c r="AF88" s="15">
        <v>0</v>
      </c>
      <c r="AG88" s="16">
        <f>SUM(Z88:AF88)</f>
        <v>1</v>
      </c>
      <c r="AH88" t="b">
        <f t="shared" si="27"/>
        <v>1</v>
      </c>
      <c r="AI88" s="5">
        <v>220.41130997006761</v>
      </c>
    </row>
    <row r="89" spans="2:35" x14ac:dyDescent="0.25">
      <c r="B89" s="239" t="s">
        <v>312</v>
      </c>
      <c r="C89" s="161"/>
      <c r="D89" s="161"/>
      <c r="E89" s="161"/>
      <c r="F89" s="161"/>
      <c r="G89" s="216"/>
      <c r="H89" s="219"/>
      <c r="I89" s="252"/>
      <c r="J89" s="161"/>
      <c r="K89" s="256"/>
      <c r="L89" s="256"/>
      <c r="M89" s="256"/>
      <c r="N89" s="256"/>
      <c r="O89" s="256"/>
      <c r="P89" s="216"/>
      <c r="R89" s="309"/>
      <c r="S89" s="309"/>
      <c r="T89" s="309"/>
      <c r="U89" s="309"/>
      <c r="V89" s="309"/>
      <c r="W89" s="309"/>
      <c r="X89" s="309"/>
      <c r="Y89" s="14"/>
    </row>
    <row r="90" spans="2:35" x14ac:dyDescent="0.25">
      <c r="B90" s="220"/>
      <c r="C90" s="161" t="s">
        <v>535</v>
      </c>
      <c r="D90" s="161" t="str">
        <f>Unit_Rates!G102</f>
        <v>Distribution system assets</v>
      </c>
      <c r="E90" s="161" t="str">
        <f>Unit_Rates!H102</f>
        <v>Augmentation</v>
      </c>
      <c r="F90" s="161" t="str">
        <f>D90&amp;E90</f>
        <v>Distribution system assetsAugmentation</v>
      </c>
      <c r="G90" s="216">
        <f>Unit_Rates!I102</f>
        <v>0</v>
      </c>
      <c r="H90" s="431">
        <f>INDEX(Feeder_Vols!$C$39:$F$44,MATCH($B$3,Feeder_Vols!$B$39:$B$44,0),1)</f>
        <v>0</v>
      </c>
      <c r="I90" s="252" t="s">
        <v>308</v>
      </c>
      <c r="J90" s="161"/>
      <c r="K90" s="256">
        <f>G90*H90</f>
        <v>0</v>
      </c>
      <c r="L90" s="256">
        <f>SUMPRODUCT(R$5:X$5,R90:X90)/Thousands</f>
        <v>0</v>
      </c>
      <c r="M90" s="256">
        <f>$H90*Unit_Rates!K102</f>
        <v>0</v>
      </c>
      <c r="N90" s="256">
        <f>$H90*Unit_Rates!L102</f>
        <v>0</v>
      </c>
      <c r="O90" s="256">
        <f>$H90*Unit_Rates!M102</f>
        <v>0</v>
      </c>
      <c r="P90" s="216">
        <f>SUM(K90:O90)</f>
        <v>0</v>
      </c>
      <c r="Q90" s="14">
        <f>P90-H90*Unit_Rates!$E102</f>
        <v>0</v>
      </c>
      <c r="R90" s="628">
        <f t="shared" ref="R90:X90" si="28">$AI90*Z90*$H90</f>
        <v>0</v>
      </c>
      <c r="S90" s="628">
        <f t="shared" si="28"/>
        <v>0</v>
      </c>
      <c r="T90" s="628">
        <f t="shared" si="28"/>
        <v>0</v>
      </c>
      <c r="U90" s="628">
        <f t="shared" si="28"/>
        <v>0</v>
      </c>
      <c r="V90" s="628">
        <f t="shared" si="28"/>
        <v>0</v>
      </c>
      <c r="W90" s="628">
        <f t="shared" si="28"/>
        <v>0</v>
      </c>
      <c r="X90" s="628">
        <f t="shared" si="28"/>
        <v>0</v>
      </c>
      <c r="Y90" s="14">
        <f t="shared" si="26"/>
        <v>0</v>
      </c>
      <c r="Z90" s="15">
        <v>0.18112413889844414</v>
      </c>
      <c r="AA90" s="15">
        <v>0.21477521965386426</v>
      </c>
      <c r="AB90" s="15">
        <v>0.6041006414476916</v>
      </c>
      <c r="AC90" s="15">
        <v>0</v>
      </c>
      <c r="AD90" s="15">
        <v>0</v>
      </c>
      <c r="AE90" s="15">
        <v>0</v>
      </c>
      <c r="AF90" s="15">
        <v>0</v>
      </c>
      <c r="AG90" s="16">
        <f>SUM(Z90:AF90)</f>
        <v>1</v>
      </c>
      <c r="AH90" t="b">
        <f t="shared" si="27"/>
        <v>1</v>
      </c>
      <c r="AI90" s="5">
        <v>469.77670058953754</v>
      </c>
    </row>
    <row r="91" spans="2:35" x14ac:dyDescent="0.25">
      <c r="B91" s="220"/>
      <c r="C91" s="161" t="s">
        <v>467</v>
      </c>
      <c r="D91" s="161" t="str">
        <f>Unit_Rates!G103</f>
        <v>Distribution system assets</v>
      </c>
      <c r="E91" s="161" t="str">
        <f>Unit_Rates!H103</f>
        <v>Augmentation</v>
      </c>
      <c r="F91" s="161" t="str">
        <f>D91&amp;E91</f>
        <v>Distribution system assetsAugmentation</v>
      </c>
      <c r="G91" s="216">
        <f>Unit_Rates!I103</f>
        <v>0</v>
      </c>
      <c r="H91" s="431">
        <f>INDEX(Feeder_Vols!$C$39:$F$44,MATCH($B$3,Feeder_Vols!$B$39:$B$44,0),2)</f>
        <v>0</v>
      </c>
      <c r="I91" s="252" t="s">
        <v>308</v>
      </c>
      <c r="J91" s="161"/>
      <c r="K91" s="256">
        <f>G91*H91</f>
        <v>0</v>
      </c>
      <c r="L91" s="256">
        <f>SUMPRODUCT(R$5:X$5,R91:X91)/Thousands</f>
        <v>0</v>
      </c>
      <c r="M91" s="256">
        <f>$H91*Unit_Rates!K103</f>
        <v>0</v>
      </c>
      <c r="N91" s="256">
        <f>$H91*Unit_Rates!L103</f>
        <v>0</v>
      </c>
      <c r="O91" s="256">
        <f>$H91*Unit_Rates!M103</f>
        <v>0</v>
      </c>
      <c r="P91" s="216">
        <f>SUM(K91:O91)</f>
        <v>0</v>
      </c>
      <c r="Q91" s="14">
        <f>P91-H91*Unit_Rates!$E103</f>
        <v>0</v>
      </c>
      <c r="R91" s="628">
        <f t="shared" ref="R91:X93" si="29">$AI91*Z91*$H91</f>
        <v>0</v>
      </c>
      <c r="S91" s="628">
        <f t="shared" si="29"/>
        <v>0</v>
      </c>
      <c r="T91" s="628">
        <f t="shared" si="29"/>
        <v>0</v>
      </c>
      <c r="U91" s="628">
        <f t="shared" si="29"/>
        <v>0</v>
      </c>
      <c r="V91" s="628">
        <f t="shared" si="29"/>
        <v>0</v>
      </c>
      <c r="W91" s="628">
        <f t="shared" si="29"/>
        <v>0</v>
      </c>
      <c r="X91" s="628">
        <f t="shared" si="29"/>
        <v>0</v>
      </c>
      <c r="Y91" s="14">
        <f t="shared" si="26"/>
        <v>0</v>
      </c>
      <c r="Z91" s="15">
        <v>0.18112413889844414</v>
      </c>
      <c r="AA91" s="15">
        <v>0.42955043930772852</v>
      </c>
      <c r="AB91" s="15">
        <v>0.3893254217938274</v>
      </c>
      <c r="AC91" s="15">
        <v>0</v>
      </c>
      <c r="AD91" s="15">
        <v>0</v>
      </c>
      <c r="AE91" s="15">
        <v>0</v>
      </c>
      <c r="AF91" s="15">
        <v>0</v>
      </c>
      <c r="AG91" s="16">
        <f>SUM(Z91:AF91)</f>
        <v>1</v>
      </c>
      <c r="AH91" t="b">
        <f t="shared" si="27"/>
        <v>1</v>
      </c>
      <c r="AI91" s="5">
        <v>500.15046310508262</v>
      </c>
    </row>
    <row r="92" spans="2:35" x14ac:dyDescent="0.25">
      <c r="B92" s="220"/>
      <c r="C92" s="161" t="s">
        <v>466</v>
      </c>
      <c r="D92" s="161" t="str">
        <f>Unit_Rates!G104</f>
        <v>Distribution system assets</v>
      </c>
      <c r="E92" s="161" t="str">
        <f>Unit_Rates!H104</f>
        <v>Augmentation</v>
      </c>
      <c r="F92" s="161" t="str">
        <f>D92&amp;E92</f>
        <v>Distribution system assetsAugmentation</v>
      </c>
      <c r="G92" s="216">
        <f>Unit_Rates!I104</f>
        <v>0</v>
      </c>
      <c r="H92" s="431">
        <f>INDEX(Feeder_Vols!$C$39:$F$44,MATCH($B$3,Feeder_Vols!$B$39:$B$44,0),3)</f>
        <v>0</v>
      </c>
      <c r="I92" s="252" t="s">
        <v>308</v>
      </c>
      <c r="J92" s="161"/>
      <c r="K92" s="256">
        <f>G92*H92</f>
        <v>0</v>
      </c>
      <c r="L92" s="256">
        <f>SUMPRODUCT(R$5:X$5,R92:X92)/Thousands</f>
        <v>0</v>
      </c>
      <c r="M92" s="256">
        <f>$H92*Unit_Rates!K104</f>
        <v>0</v>
      </c>
      <c r="N92" s="256">
        <f>$H92*Unit_Rates!L104</f>
        <v>0</v>
      </c>
      <c r="O92" s="256">
        <f>$H92*Unit_Rates!M104</f>
        <v>0</v>
      </c>
      <c r="P92" s="216">
        <f>SUM(K92:O92)</f>
        <v>0</v>
      </c>
      <c r="Q92" s="14">
        <f>P92-H92*Unit_Rates!$E104</f>
        <v>0</v>
      </c>
      <c r="R92" s="628">
        <f t="shared" si="29"/>
        <v>0</v>
      </c>
      <c r="S92" s="628">
        <f t="shared" si="29"/>
        <v>0</v>
      </c>
      <c r="T92" s="628">
        <f t="shared" si="29"/>
        <v>0</v>
      </c>
      <c r="U92" s="628">
        <f t="shared" si="29"/>
        <v>0</v>
      </c>
      <c r="V92" s="628">
        <f t="shared" si="29"/>
        <v>0</v>
      </c>
      <c r="W92" s="628">
        <f t="shared" si="29"/>
        <v>0</v>
      </c>
      <c r="X92" s="628">
        <f t="shared" si="29"/>
        <v>0</v>
      </c>
      <c r="Y92" s="14">
        <f t="shared" si="26"/>
        <v>0</v>
      </c>
      <c r="Z92" s="15">
        <v>0.18112413889844414</v>
      </c>
      <c r="AA92" s="15">
        <v>0.42955043930772852</v>
      </c>
      <c r="AB92" s="15">
        <v>0.3893254217938274</v>
      </c>
      <c r="AC92" s="15">
        <v>0</v>
      </c>
      <c r="AD92" s="15">
        <v>0</v>
      </c>
      <c r="AE92" s="15">
        <v>0</v>
      </c>
      <c r="AF92" s="15">
        <v>0</v>
      </c>
      <c r="AG92" s="16">
        <f>SUM(Z92:AF92)</f>
        <v>1</v>
      </c>
      <c r="AH92" t="b">
        <f t="shared" si="27"/>
        <v>1</v>
      </c>
      <c r="AI92" s="5">
        <v>416.11120533381393</v>
      </c>
    </row>
    <row r="93" spans="2:35" x14ac:dyDescent="0.25">
      <c r="B93" s="220"/>
      <c r="C93" s="161" t="s">
        <v>311</v>
      </c>
      <c r="D93" s="161" t="str">
        <f>Unit_Rates!G105</f>
        <v>Distribution system assets</v>
      </c>
      <c r="E93" s="161" t="str">
        <f>Unit_Rates!H105</f>
        <v>Replacement</v>
      </c>
      <c r="F93" s="161" t="str">
        <f>D93&amp;E93</f>
        <v>Distribution system assetsReplacement</v>
      </c>
      <c r="G93" s="216">
        <f>Unit_Rates!I105</f>
        <v>30.885851347412974</v>
      </c>
      <c r="H93" s="431">
        <f>INDEX(Feeder_Vols!$C$39:$I$44,MATCH($B$3,Feeder_Vols!$B$39:$B$44,0),7)</f>
        <v>1</v>
      </c>
      <c r="I93" s="252" t="s">
        <v>308</v>
      </c>
      <c r="J93" s="161"/>
      <c r="K93" s="256">
        <f>G93*H93</f>
        <v>30.885851347412974</v>
      </c>
      <c r="L93" s="256">
        <f>SUMPRODUCT(R$5:X$5,R93:X93)/Thousands</f>
        <v>9.7770370094362189</v>
      </c>
      <c r="M93" s="256">
        <f>$H93*Unit_Rates!K105</f>
        <v>6.2099623918519153</v>
      </c>
      <c r="N93" s="256">
        <f>$H93*Unit_Rates!L105</f>
        <v>33.533796916000327</v>
      </c>
      <c r="O93" s="256">
        <f>$H93*Unit_Rates!M105</f>
        <v>9.0567534026248566</v>
      </c>
      <c r="P93" s="216">
        <f>SUM(K93:O93)</f>
        <v>89.463401067326288</v>
      </c>
      <c r="Q93" s="14">
        <f>P93-H93*Unit_Rates!$E105</f>
        <v>3.898774218018275E-2</v>
      </c>
      <c r="R93" s="628">
        <f t="shared" si="29"/>
        <v>18.5102921515013</v>
      </c>
      <c r="S93" s="628">
        <f t="shared" si="29"/>
        <v>19.813833852311248</v>
      </c>
      <c r="T93" s="628">
        <f t="shared" si="29"/>
        <v>22.735873996187458</v>
      </c>
      <c r="U93" s="628">
        <f t="shared" si="29"/>
        <v>0</v>
      </c>
      <c r="V93" s="628">
        <f t="shared" si="29"/>
        <v>0</v>
      </c>
      <c r="W93" s="628">
        <f t="shared" si="29"/>
        <v>0</v>
      </c>
      <c r="X93" s="628">
        <f t="shared" si="29"/>
        <v>0</v>
      </c>
      <c r="Y93" s="14">
        <f t="shared" si="26"/>
        <v>61.060000000000009</v>
      </c>
      <c r="Z93" s="15">
        <v>0.30314923274650013</v>
      </c>
      <c r="AA93" s="15">
        <v>0.32449777026385929</v>
      </c>
      <c r="AB93" s="15">
        <v>0.37235299698964064</v>
      </c>
      <c r="AC93" s="15">
        <v>0</v>
      </c>
      <c r="AD93" s="15">
        <v>0</v>
      </c>
      <c r="AE93" s="15">
        <v>0</v>
      </c>
      <c r="AF93" s="15">
        <v>0</v>
      </c>
      <c r="AG93" s="16">
        <f>SUM(Z93:AF93)</f>
        <v>1</v>
      </c>
      <c r="AH93" t="b">
        <f t="shared" si="27"/>
        <v>1</v>
      </c>
      <c r="AI93" s="5">
        <v>61.06</v>
      </c>
    </row>
    <row r="94" spans="2:35" x14ac:dyDescent="0.25">
      <c r="B94" s="220"/>
      <c r="C94" s="161"/>
      <c r="D94" s="161"/>
      <c r="E94" s="161"/>
      <c r="F94" s="161"/>
      <c r="G94" s="212"/>
      <c r="H94" s="220"/>
      <c r="I94" s="212"/>
      <c r="J94" s="161"/>
      <c r="K94" s="223"/>
      <c r="L94" s="223"/>
      <c r="M94" s="223"/>
      <c r="N94" s="223"/>
      <c r="O94" s="223"/>
      <c r="P94" s="212"/>
    </row>
    <row r="95" spans="2:35" x14ac:dyDescent="0.25">
      <c r="B95" s="239" t="s">
        <v>299</v>
      </c>
      <c r="C95" s="161"/>
      <c r="D95" s="161"/>
      <c r="E95" s="161"/>
      <c r="F95" s="161"/>
      <c r="G95" s="212"/>
      <c r="H95" s="220"/>
      <c r="I95" s="212"/>
      <c r="J95" s="161"/>
      <c r="K95" s="302">
        <f t="shared" ref="K95:P95" si="30">SUM(K76:K93)</f>
        <v>1608.8940749516703</v>
      </c>
      <c r="L95" s="302">
        <f t="shared" si="30"/>
        <v>580.46550047827168</v>
      </c>
      <c r="M95" s="302">
        <f t="shared" si="30"/>
        <v>206.42501580143593</v>
      </c>
      <c r="N95" s="302">
        <f t="shared" si="30"/>
        <v>4234.1514952555135</v>
      </c>
      <c r="O95" s="302">
        <f t="shared" si="30"/>
        <v>148.71100774466731</v>
      </c>
      <c r="P95" s="302">
        <f t="shared" si="30"/>
        <v>6778.6470942315582</v>
      </c>
      <c r="R95" s="262"/>
      <c r="S95" s="262"/>
      <c r="T95" s="262"/>
      <c r="U95" s="46"/>
    </row>
    <row r="96" spans="2:35" x14ac:dyDescent="0.25">
      <c r="B96" s="247" t="s">
        <v>72</v>
      </c>
      <c r="C96" s="248"/>
      <c r="D96" s="248"/>
      <c r="E96" s="248"/>
      <c r="F96" s="248"/>
      <c r="G96" s="248"/>
      <c r="H96" s="248"/>
      <c r="I96" s="248"/>
      <c r="J96" s="248"/>
      <c r="K96" s="306">
        <f>K95-SUMIF(Direct_Capex_Totals!$B$16:$B$85,$B$3,Direct_Capex_Totals!Q$16:Q$85)</f>
        <v>0</v>
      </c>
      <c r="L96" s="306">
        <f>L95-SUMIF(Direct_Capex_Totals!$B$16:$B$85,$B$3,Direct_Capex_Totals!R$16:R$85)</f>
        <v>0</v>
      </c>
      <c r="M96" s="306">
        <f>M95-SUMIF(Direct_Capex_Totals!$B$16:$B$85,$B$3,Direct_Capex_Totals!S$16:S$85)</f>
        <v>0</v>
      </c>
      <c r="N96" s="306">
        <f>N95-SUMIF(Direct_Capex_Totals!$B$16:$B$85,$B$3,Direct_Capex_Totals!T$16:T$85)</f>
        <v>0</v>
      </c>
      <c r="O96" s="306">
        <f>O95-SUMIF(Direct_Capex_Totals!$B$16:$B$85,$B$3,Direct_Capex_Totals!U$16:U$85)</f>
        <v>0</v>
      </c>
      <c r="P96" s="307">
        <f>SUM(K96:O96)</f>
        <v>0</v>
      </c>
      <c r="Q96" s="11"/>
      <c r="R96" s="46"/>
      <c r="S96" s="46"/>
      <c r="T96" s="46"/>
      <c r="U96" s="46"/>
    </row>
    <row r="97" spans="2:16" x14ac:dyDescent="0.25">
      <c r="B97" s="220"/>
      <c r="C97" s="161"/>
      <c r="D97" s="161"/>
      <c r="E97" s="161"/>
      <c r="F97" s="161"/>
      <c r="G97" s="161"/>
      <c r="H97" s="161"/>
      <c r="I97" s="161"/>
      <c r="J97" s="161"/>
      <c r="K97" s="147"/>
      <c r="L97" s="147"/>
      <c r="M97" s="147"/>
      <c r="N97" s="147"/>
      <c r="O97" s="147"/>
      <c r="P97" s="221"/>
    </row>
    <row r="98" spans="2:16" x14ac:dyDescent="0.25">
      <c r="B98" s="239" t="s">
        <v>119</v>
      </c>
      <c r="C98" s="240"/>
      <c r="D98" s="240"/>
      <c r="E98" s="240"/>
      <c r="F98" s="240"/>
      <c r="G98" s="240"/>
      <c r="H98" s="240"/>
      <c r="I98" s="240"/>
      <c r="J98" s="240"/>
      <c r="K98" s="26">
        <f t="shared" ref="K98:P98" si="31">K61+K95</f>
        <v>5865.1623704714802</v>
      </c>
      <c r="L98" s="26">
        <f t="shared" si="31"/>
        <v>1575.0295887292932</v>
      </c>
      <c r="M98" s="26">
        <f t="shared" si="31"/>
        <v>1244.1241308456833</v>
      </c>
      <c r="N98" s="26">
        <f t="shared" si="31"/>
        <v>6923.7651515819171</v>
      </c>
      <c r="O98" s="26">
        <f t="shared" si="31"/>
        <v>278.45582587403709</v>
      </c>
      <c r="P98" s="241">
        <f t="shared" si="31"/>
        <v>15886.537067502406</v>
      </c>
    </row>
    <row r="99" spans="2:16" x14ac:dyDescent="0.25">
      <c r="B99" s="246" t="s">
        <v>72</v>
      </c>
      <c r="C99" s="242"/>
      <c r="D99" s="242"/>
      <c r="E99" s="242"/>
      <c r="F99" s="242"/>
      <c r="G99" s="242"/>
      <c r="H99" s="242"/>
      <c r="I99" s="242"/>
      <c r="J99" s="242"/>
      <c r="K99" s="244">
        <f>K98-SUMIF(Direct_Capex_Totals!$B$109:$B$114,$B$3,Direct_Capex_Totals!Q$109:Q$114)</f>
        <v>0</v>
      </c>
      <c r="L99" s="244">
        <f>L98-SUMIF(Direct_Capex_Totals!$B$109:$B$114,$B$3,Direct_Capex_Totals!R$109:R$114)</f>
        <v>0</v>
      </c>
      <c r="M99" s="244">
        <f>M98-SUMIF(Direct_Capex_Totals!$B$109:$B$114,$B$3,Direct_Capex_Totals!S$109:S$114)</f>
        <v>0</v>
      </c>
      <c r="N99" s="244">
        <f>N98-SUMIF(Direct_Capex_Totals!$B$109:$B$114,$B$3,Direct_Capex_Totals!T$109:T$114)</f>
        <v>0</v>
      </c>
      <c r="O99" s="244">
        <f>O98-SUMIF(Direct_Capex_Totals!$B$109:$B$114,$B$3,Direct_Capex_Totals!U$109:U$114)</f>
        <v>0</v>
      </c>
      <c r="P99" s="322">
        <f>SUM(K99:O99)</f>
        <v>0</v>
      </c>
    </row>
    <row r="101" spans="2:16" x14ac:dyDescent="0.25">
      <c r="H101" s="204"/>
    </row>
    <row r="102" spans="2:16" outlineLevel="1" x14ac:dyDescent="0.25">
      <c r="C102" t="s">
        <v>277</v>
      </c>
      <c r="D102" t="s">
        <v>18</v>
      </c>
      <c r="E102" t="s">
        <v>42</v>
      </c>
      <c r="F102" s="161" t="str">
        <f>D102&amp;E102</f>
        <v>SubtransmissionAugmentation</v>
      </c>
      <c r="K102" s="6">
        <v>2375.4130814159284</v>
      </c>
      <c r="L102" s="6">
        <v>0</v>
      </c>
      <c r="M102" s="6">
        <v>0</v>
      </c>
      <c r="N102" s="6">
        <v>2178.2673488589744</v>
      </c>
      <c r="O102" s="6">
        <v>126.18609911504423</v>
      </c>
      <c r="P102" s="6">
        <f>SUM(K102:O102)</f>
        <v>4679.8665293899467</v>
      </c>
    </row>
    <row r="103" spans="2:16" outlineLevel="1" x14ac:dyDescent="0.25">
      <c r="D103" t="s">
        <v>18</v>
      </c>
      <c r="E103" t="s">
        <v>44</v>
      </c>
      <c r="F103" s="161" t="str">
        <f>D103&amp;E103</f>
        <v>SubtransmissionReplacement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ref="P103:P122" si="32">SUM(K103:O103)</f>
        <v>0</v>
      </c>
    </row>
    <row r="104" spans="2:16" outlineLevel="1" x14ac:dyDescent="0.25">
      <c r="D104" t="s">
        <v>22</v>
      </c>
      <c r="E104" t="s">
        <v>42</v>
      </c>
      <c r="F104" s="161" t="str">
        <f>D104&amp;E104</f>
        <v>SCADA/Network controlAugmentation</v>
      </c>
      <c r="K104" s="6">
        <v>1880.8552141038801</v>
      </c>
      <c r="L104" s="6">
        <v>0</v>
      </c>
      <c r="M104" s="6">
        <v>0</v>
      </c>
      <c r="N104" s="6">
        <v>511.34630746742891</v>
      </c>
      <c r="O104" s="6">
        <v>3.5587190143255261</v>
      </c>
      <c r="P104" s="6">
        <f t="shared" si="32"/>
        <v>2395.7602405856346</v>
      </c>
    </row>
    <row r="105" spans="2:16" outlineLevel="1" x14ac:dyDescent="0.25">
      <c r="D105" t="s">
        <v>22</v>
      </c>
      <c r="E105" t="s">
        <v>44</v>
      </c>
      <c r="F105" s="161" t="str">
        <f>D105&amp;E105</f>
        <v>SCADA/Network controlReplacement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f t="shared" si="32"/>
        <v>0</v>
      </c>
    </row>
    <row r="106" spans="2:16" outlineLevel="1" x14ac:dyDescent="0.25">
      <c r="D106" t="s">
        <v>211</v>
      </c>
      <c r="E106" t="s">
        <v>83</v>
      </c>
      <c r="F106" s="161" t="str">
        <f>D106&amp;E106</f>
        <v>LandNon-Network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f t="shared" si="32"/>
        <v>0</v>
      </c>
    </row>
    <row r="107" spans="2:16" outlineLevel="1" x14ac:dyDescent="0.25">
      <c r="F107" s="161"/>
      <c r="K107" s="6">
        <f t="shared" ref="K107:P107" si="33">SUM(K102:K106)</f>
        <v>4256.2682955198088</v>
      </c>
      <c r="L107" s="6">
        <f t="shared" si="33"/>
        <v>0</v>
      </c>
      <c r="M107" s="6">
        <f t="shared" si="33"/>
        <v>0</v>
      </c>
      <c r="N107" s="6">
        <f t="shared" si="33"/>
        <v>2689.6136563264035</v>
      </c>
      <c r="O107" s="6">
        <f t="shared" si="33"/>
        <v>129.74481812936975</v>
      </c>
      <c r="P107" s="6">
        <f t="shared" si="33"/>
        <v>7075.6267699755808</v>
      </c>
    </row>
    <row r="108" spans="2:16" outlineLevel="1" x14ac:dyDescent="0.25">
      <c r="C108" t="s">
        <v>379</v>
      </c>
      <c r="D108" t="s">
        <v>18</v>
      </c>
      <c r="E108" t="s">
        <v>42</v>
      </c>
      <c r="F108" s="161" t="str">
        <f>D108&amp;E108</f>
        <v>SubtransmissionAugmentation</v>
      </c>
      <c r="K108" s="6"/>
      <c r="L108" s="6">
        <v>657.81129209494009</v>
      </c>
      <c r="M108" s="6">
        <v>686.3410852421066</v>
      </c>
      <c r="N108" s="6">
        <v>0</v>
      </c>
      <c r="O108" s="6"/>
      <c r="P108" s="6">
        <f>SUM(K108:O108)</f>
        <v>1344.1523773370468</v>
      </c>
    </row>
    <row r="109" spans="2:16" outlineLevel="1" x14ac:dyDescent="0.25">
      <c r="D109" t="s">
        <v>18</v>
      </c>
      <c r="E109" t="s">
        <v>44</v>
      </c>
      <c r="F109" s="161" t="str">
        <f>D109&amp;E109</f>
        <v>SubtransmissionReplacement</v>
      </c>
      <c r="K109" s="6"/>
      <c r="L109" s="38">
        <v>0</v>
      </c>
      <c r="M109" s="38">
        <v>0</v>
      </c>
      <c r="N109" s="38">
        <v>0</v>
      </c>
      <c r="O109" s="6"/>
      <c r="P109" s="6">
        <f t="shared" si="32"/>
        <v>0</v>
      </c>
    </row>
    <row r="110" spans="2:16" outlineLevel="1" x14ac:dyDescent="0.25">
      <c r="D110" t="s">
        <v>22</v>
      </c>
      <c r="E110" t="s">
        <v>42</v>
      </c>
      <c r="F110" s="161" t="str">
        <f>D110&amp;E110</f>
        <v>SCADA/Network controlAugmentation</v>
      </c>
      <c r="K110" s="6"/>
      <c r="L110" s="6">
        <v>336.75279615608144</v>
      </c>
      <c r="M110" s="6">
        <v>351.358029802141</v>
      </c>
      <c r="N110" s="6">
        <v>0</v>
      </c>
      <c r="O110" s="6"/>
      <c r="P110" s="6">
        <f t="shared" si="32"/>
        <v>688.11082595822245</v>
      </c>
    </row>
    <row r="111" spans="2:16" outlineLevel="1" x14ac:dyDescent="0.25">
      <c r="D111" t="s">
        <v>22</v>
      </c>
      <c r="E111" t="s">
        <v>44</v>
      </c>
      <c r="F111" s="161" t="str">
        <f>D111&amp;E111</f>
        <v>SCADA/Network controlReplacement</v>
      </c>
      <c r="K111" s="6"/>
      <c r="L111" s="6">
        <v>0</v>
      </c>
      <c r="M111" s="6">
        <v>0</v>
      </c>
      <c r="N111" s="6">
        <v>0</v>
      </c>
      <c r="O111" s="6"/>
      <c r="P111" s="6">
        <f t="shared" si="32"/>
        <v>0</v>
      </c>
    </row>
    <row r="112" spans="2:16" outlineLevel="1" x14ac:dyDescent="0.25">
      <c r="D112" t="s">
        <v>211</v>
      </c>
      <c r="E112" t="s">
        <v>83</v>
      </c>
      <c r="F112" s="161" t="str">
        <f>D112&amp;E112</f>
        <v>LandNon-Network</v>
      </c>
      <c r="K112" s="39"/>
      <c r="L112" s="39">
        <v>0</v>
      </c>
      <c r="M112" s="39">
        <v>0</v>
      </c>
      <c r="N112" s="39">
        <v>0</v>
      </c>
      <c r="O112" s="39"/>
      <c r="P112" s="39">
        <f t="shared" si="32"/>
        <v>0</v>
      </c>
    </row>
    <row r="113" spans="3:16" outlineLevel="1" x14ac:dyDescent="0.25">
      <c r="F113" s="161"/>
      <c r="K113" s="6">
        <f t="shared" ref="K113:P113" si="34">SUM(K108:K112)</f>
        <v>0</v>
      </c>
      <c r="L113" s="6">
        <f t="shared" si="34"/>
        <v>994.56408825102153</v>
      </c>
      <c r="M113" s="6">
        <f t="shared" si="34"/>
        <v>1037.6991150442477</v>
      </c>
      <c r="N113" s="6">
        <f t="shared" si="34"/>
        <v>0</v>
      </c>
      <c r="O113" s="6">
        <f t="shared" si="34"/>
        <v>0</v>
      </c>
      <c r="P113" s="6">
        <f t="shared" si="34"/>
        <v>2032.2632032952692</v>
      </c>
    </row>
    <row r="114" spans="3:16" outlineLevel="1" x14ac:dyDescent="0.25">
      <c r="C114" t="s">
        <v>387</v>
      </c>
      <c r="D114" t="s">
        <v>18</v>
      </c>
      <c r="E114" t="s">
        <v>42</v>
      </c>
      <c r="F114" s="161" t="str">
        <f>D114&amp;E114</f>
        <v>SubtransmissionAugmentation</v>
      </c>
      <c r="K114" s="6">
        <f t="shared" ref="K114:P114" si="35">K102+K108</f>
        <v>2375.4130814159284</v>
      </c>
      <c r="L114" s="6">
        <f t="shared" si="35"/>
        <v>657.81129209494009</v>
      </c>
      <c r="M114" s="6">
        <f t="shared" si="35"/>
        <v>686.3410852421066</v>
      </c>
      <c r="N114" s="6">
        <f t="shared" si="35"/>
        <v>2178.2673488589744</v>
      </c>
      <c r="O114" s="6">
        <f t="shared" si="35"/>
        <v>126.18609911504423</v>
      </c>
      <c r="P114" s="6">
        <f t="shared" si="35"/>
        <v>6024.018906726993</v>
      </c>
    </row>
    <row r="115" spans="3:16" outlineLevel="1" x14ac:dyDescent="0.25">
      <c r="D115" t="s">
        <v>18</v>
      </c>
      <c r="E115" t="s">
        <v>44</v>
      </c>
      <c r="F115" s="161" t="str">
        <f>D115&amp;E115</f>
        <v>SubtransmissionReplacement</v>
      </c>
      <c r="K115" s="6">
        <f t="shared" ref="K115:P118" si="36">K103+K109</f>
        <v>0</v>
      </c>
      <c r="L115" s="6">
        <f t="shared" si="36"/>
        <v>0</v>
      </c>
      <c r="M115" s="6">
        <f t="shared" si="36"/>
        <v>0</v>
      </c>
      <c r="N115" s="6">
        <f t="shared" si="36"/>
        <v>0</v>
      </c>
      <c r="O115" s="6">
        <f t="shared" si="36"/>
        <v>0</v>
      </c>
      <c r="P115" s="6">
        <f t="shared" si="36"/>
        <v>0</v>
      </c>
    </row>
    <row r="116" spans="3:16" outlineLevel="1" x14ac:dyDescent="0.25">
      <c r="D116" t="s">
        <v>22</v>
      </c>
      <c r="E116" t="s">
        <v>42</v>
      </c>
      <c r="F116" s="161" t="str">
        <f>D116&amp;E116</f>
        <v>SCADA/Network controlAugmentation</v>
      </c>
      <c r="K116" s="6">
        <f t="shared" si="36"/>
        <v>1880.8552141038801</v>
      </c>
      <c r="L116" s="6">
        <f t="shared" si="36"/>
        <v>336.75279615608144</v>
      </c>
      <c r="M116" s="6">
        <f t="shared" si="36"/>
        <v>351.358029802141</v>
      </c>
      <c r="N116" s="6">
        <f t="shared" si="36"/>
        <v>511.34630746742891</v>
      </c>
      <c r="O116" s="6">
        <f t="shared" si="36"/>
        <v>3.5587190143255261</v>
      </c>
      <c r="P116" s="6">
        <f t="shared" si="36"/>
        <v>3083.8710665438571</v>
      </c>
    </row>
    <row r="117" spans="3:16" outlineLevel="1" x14ac:dyDescent="0.25">
      <c r="D117" t="s">
        <v>22</v>
      </c>
      <c r="E117" t="s">
        <v>44</v>
      </c>
      <c r="F117" s="161" t="str">
        <f>D117&amp;E117</f>
        <v>SCADA/Network controlReplacement</v>
      </c>
      <c r="K117" s="6">
        <f t="shared" si="36"/>
        <v>0</v>
      </c>
      <c r="L117" s="6">
        <f t="shared" si="36"/>
        <v>0</v>
      </c>
      <c r="M117" s="6">
        <f t="shared" si="36"/>
        <v>0</v>
      </c>
      <c r="N117" s="6">
        <f t="shared" si="36"/>
        <v>0</v>
      </c>
      <c r="O117" s="6">
        <f t="shared" si="36"/>
        <v>0</v>
      </c>
      <c r="P117" s="6">
        <f t="shared" si="36"/>
        <v>0</v>
      </c>
    </row>
    <row r="118" spans="3:16" outlineLevel="1" x14ac:dyDescent="0.25">
      <c r="D118" t="s">
        <v>211</v>
      </c>
      <c r="E118" t="s">
        <v>83</v>
      </c>
      <c r="F118" s="161" t="str">
        <f>D118&amp;E118</f>
        <v>LandNon-Network</v>
      </c>
      <c r="K118" s="39">
        <f t="shared" si="36"/>
        <v>0</v>
      </c>
      <c r="L118" s="39">
        <f t="shared" si="36"/>
        <v>0</v>
      </c>
      <c r="M118" s="39">
        <f t="shared" si="36"/>
        <v>0</v>
      </c>
      <c r="N118" s="39">
        <f t="shared" si="36"/>
        <v>0</v>
      </c>
      <c r="O118" s="39">
        <f t="shared" si="36"/>
        <v>0</v>
      </c>
      <c r="P118" s="39">
        <f t="shared" si="36"/>
        <v>0</v>
      </c>
    </row>
    <row r="119" spans="3:16" outlineLevel="1" x14ac:dyDescent="0.25">
      <c r="F119" s="161"/>
      <c r="K119" s="6">
        <f t="shared" ref="K119:P119" si="37">SUM(K114:K118)</f>
        <v>4256.2682955198088</v>
      </c>
      <c r="L119" s="6">
        <f t="shared" si="37"/>
        <v>994.56408825102153</v>
      </c>
      <c r="M119" s="6">
        <f t="shared" si="37"/>
        <v>1037.6991150442477</v>
      </c>
      <c r="N119" s="6">
        <f t="shared" si="37"/>
        <v>2689.6136563264035</v>
      </c>
      <c r="O119" s="6">
        <f t="shared" si="37"/>
        <v>129.74481812936975</v>
      </c>
      <c r="P119" s="6">
        <f t="shared" si="37"/>
        <v>9107.8899732708505</v>
      </c>
    </row>
    <row r="120" spans="3:16" outlineLevel="1" x14ac:dyDescent="0.25">
      <c r="F120" s="161"/>
      <c r="K120" s="5">
        <f t="shared" ref="K120:P120" si="38">K61-K119</f>
        <v>0</v>
      </c>
      <c r="L120" s="5">
        <f t="shared" si="38"/>
        <v>0</v>
      </c>
      <c r="M120" s="5">
        <f t="shared" si="38"/>
        <v>0</v>
      </c>
      <c r="N120" s="5">
        <f t="shared" si="38"/>
        <v>0</v>
      </c>
      <c r="O120" s="5">
        <f t="shared" si="38"/>
        <v>0</v>
      </c>
      <c r="P120" s="5">
        <f t="shared" si="38"/>
        <v>0</v>
      </c>
    </row>
    <row r="121" spans="3:16" outlineLevel="1" x14ac:dyDescent="0.25">
      <c r="C121" t="s">
        <v>17</v>
      </c>
      <c r="D121" t="s">
        <v>19</v>
      </c>
      <c r="E121" t="s">
        <v>42</v>
      </c>
      <c r="F121" s="161" t="str">
        <f>D121&amp;E121</f>
        <v>Distribution system assetsAugmentation</v>
      </c>
      <c r="K121" s="6">
        <v>624.86546816340183</v>
      </c>
      <c r="L121" s="6">
        <v>229.84952412721364</v>
      </c>
      <c r="M121" s="6">
        <v>151.85801582111392</v>
      </c>
      <c r="N121" s="6">
        <v>1399.4587611366451</v>
      </c>
      <c r="O121" s="6">
        <v>102.02419533475336</v>
      </c>
      <c r="P121" s="6">
        <f t="shared" si="32"/>
        <v>2508.0559645831281</v>
      </c>
    </row>
    <row r="122" spans="3:16" outlineLevel="1" x14ac:dyDescent="0.25">
      <c r="D122" t="s">
        <v>19</v>
      </c>
      <c r="E122" t="s">
        <v>44</v>
      </c>
      <c r="F122" s="161" t="str">
        <f>D122&amp;E122</f>
        <v>Distribution system assetsReplacement</v>
      </c>
      <c r="K122" s="39">
        <v>0</v>
      </c>
      <c r="L122" s="39">
        <v>2.3590816423472742</v>
      </c>
      <c r="M122" s="39">
        <v>0</v>
      </c>
      <c r="N122" s="39">
        <v>63.593048093023242</v>
      </c>
      <c r="O122" s="39">
        <v>0</v>
      </c>
      <c r="P122" s="39">
        <f t="shared" si="32"/>
        <v>65.952129735370519</v>
      </c>
    </row>
    <row r="123" spans="3:16" outlineLevel="1" x14ac:dyDescent="0.25">
      <c r="K123" s="14">
        <f t="shared" ref="K123:P123" si="39">SUM(K121:K122)</f>
        <v>624.86546816340183</v>
      </c>
      <c r="L123" s="14">
        <f t="shared" si="39"/>
        <v>232.2086057695609</v>
      </c>
      <c r="M123" s="14">
        <f t="shared" si="39"/>
        <v>151.85801582111392</v>
      </c>
      <c r="N123" s="14">
        <f t="shared" si="39"/>
        <v>1463.0518092296684</v>
      </c>
      <c r="O123" s="14">
        <f t="shared" si="39"/>
        <v>102.02419533475336</v>
      </c>
      <c r="P123" s="14">
        <f t="shared" si="39"/>
        <v>2574.0080943184985</v>
      </c>
    </row>
    <row r="124" spans="3:16" outlineLevel="1" x14ac:dyDescent="0.25">
      <c r="K124" s="19">
        <f t="shared" ref="K124:P124" si="40">K123-K76</f>
        <v>0</v>
      </c>
      <c r="L124" s="19">
        <f t="shared" si="40"/>
        <v>0</v>
      </c>
      <c r="M124" s="19">
        <f t="shared" si="40"/>
        <v>0</v>
      </c>
      <c r="N124" s="19">
        <f t="shared" si="40"/>
        <v>0</v>
      </c>
      <c r="O124" s="19">
        <f t="shared" si="40"/>
        <v>0</v>
      </c>
      <c r="P124" s="19">
        <f t="shared" si="40"/>
        <v>0</v>
      </c>
    </row>
  </sheetData>
  <mergeCells count="3">
    <mergeCell ref="G3:I3"/>
    <mergeCell ref="K3:P3"/>
    <mergeCell ref="R3:X3"/>
  </mergeCells>
  <pageMargins left="0.25" right="0.25" top="0.75" bottom="0.75" header="0.3" footer="0.3"/>
  <pageSetup paperSize="9" scale="72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zoomScaleNormal="100" workbookViewId="0">
      <selection activeCell="L10" sqref="L10"/>
    </sheetView>
  </sheetViews>
  <sheetFormatPr defaultRowHeight="15" outlineLevelRow="1" outlineLevelCol="1" x14ac:dyDescent="0.25"/>
  <cols>
    <col min="1" max="1" width="3.85546875" customWidth="1"/>
    <col min="2" max="2" width="52.140625" customWidth="1"/>
    <col min="3" max="3" width="20.42578125" hidden="1" customWidth="1" outlineLevel="1"/>
    <col min="4" max="4" width="18.5703125" hidden="1" customWidth="1" outlineLevel="1"/>
    <col min="5" max="5" width="29.42578125" hidden="1" customWidth="1" outlineLevel="1"/>
    <col min="6" max="6" width="10.7109375" customWidth="1" collapsed="1"/>
    <col min="7" max="7" width="11.42578125" customWidth="1"/>
    <col min="8" max="8" width="11.140625" customWidth="1"/>
    <col min="9" max="9" width="13.140625" customWidth="1"/>
    <col min="10" max="10" width="10" customWidth="1"/>
    <col min="11" max="11" width="13" customWidth="1"/>
  </cols>
  <sheetData>
    <row r="2" spans="2:12" x14ac:dyDescent="0.25">
      <c r="B2" s="22" t="str">
        <f>Rpt_Cat!B18</f>
        <v>New Kalkallo (2nd ZSS)</v>
      </c>
      <c r="I2" s="49"/>
    </row>
    <row r="3" spans="2:12" x14ac:dyDescent="0.25">
      <c r="B3" s="25" t="s">
        <v>730</v>
      </c>
      <c r="C3" s="25"/>
      <c r="D3" s="25"/>
      <c r="E3" s="25"/>
    </row>
    <row r="4" spans="2:12" x14ac:dyDescent="0.25">
      <c r="F4" s="771" t="s">
        <v>604</v>
      </c>
      <c r="G4" s="772"/>
      <c r="H4" s="772"/>
      <c r="I4" s="772"/>
      <c r="J4" s="772"/>
      <c r="K4" s="773"/>
    </row>
    <row r="5" spans="2:12" ht="50.25" customHeight="1" x14ac:dyDescent="0.25">
      <c r="C5" t="s">
        <v>373</v>
      </c>
      <c r="D5" t="s">
        <v>101</v>
      </c>
      <c r="F5" s="208" t="s">
        <v>151</v>
      </c>
      <c r="G5" s="208" t="s">
        <v>306</v>
      </c>
      <c r="H5" s="541" t="s">
        <v>152</v>
      </c>
      <c r="I5" s="541" t="s">
        <v>153</v>
      </c>
      <c r="J5" s="542" t="s">
        <v>77</v>
      </c>
      <c r="K5" s="542" t="s">
        <v>307</v>
      </c>
    </row>
    <row r="6" spans="2:12" x14ac:dyDescent="0.25">
      <c r="B6" s="318" t="s">
        <v>674</v>
      </c>
      <c r="C6" s="318" t="s">
        <v>18</v>
      </c>
      <c r="D6" s="318" t="s">
        <v>42</v>
      </c>
      <c r="E6" s="318" t="s">
        <v>194</v>
      </c>
      <c r="F6" s="346">
        <v>4311.6611842990942</v>
      </c>
      <c r="G6" s="346">
        <v>2108.961996343829</v>
      </c>
      <c r="H6" s="378">
        <v>1132.0353982300883</v>
      </c>
      <c r="I6" s="346">
        <v>5711.7114805598849</v>
      </c>
      <c r="J6" s="346">
        <v>1613.7404554960463</v>
      </c>
      <c r="K6" s="346">
        <f>SUM(F6:J6)</f>
        <v>14878.110514928943</v>
      </c>
    </row>
    <row r="7" spans="2:12" x14ac:dyDescent="0.25">
      <c r="B7" s="318" t="s">
        <v>675</v>
      </c>
      <c r="C7" s="318" t="s">
        <v>211</v>
      </c>
      <c r="D7" s="318" t="s">
        <v>83</v>
      </c>
      <c r="E7" s="318" t="s">
        <v>214</v>
      </c>
      <c r="F7" s="346">
        <v>0</v>
      </c>
      <c r="G7" s="346">
        <v>0</v>
      </c>
      <c r="H7" s="346">
        <v>0</v>
      </c>
      <c r="I7" s="346">
        <v>1886.7256637168136</v>
      </c>
      <c r="J7" s="346">
        <v>0</v>
      </c>
      <c r="K7" s="346">
        <f>SUM(F7:J7)</f>
        <v>1886.7256637168136</v>
      </c>
    </row>
    <row r="8" spans="2:12" x14ac:dyDescent="0.25">
      <c r="B8" s="666" t="s">
        <v>298</v>
      </c>
      <c r="C8" s="318"/>
      <c r="D8" s="318"/>
      <c r="E8" s="318"/>
      <c r="F8" s="302">
        <f>SUM(F6:F7)</f>
        <v>4311.6611842990942</v>
      </c>
      <c r="G8" s="302">
        <f>SUM(G6:G7)</f>
        <v>2108.961996343829</v>
      </c>
      <c r="H8" s="302">
        <f>SUM(H6:H7)</f>
        <v>1132.0353982300883</v>
      </c>
      <c r="I8" s="302">
        <f>SUM(I6:I7)</f>
        <v>7598.4371442766987</v>
      </c>
      <c r="J8" s="302">
        <f>SUM(J6:J7)</f>
        <v>1613.7404554960463</v>
      </c>
      <c r="K8" s="302">
        <f>SUM(F8:J8)</f>
        <v>16764.836178645757</v>
      </c>
    </row>
    <row r="9" spans="2:12" x14ac:dyDescent="0.25">
      <c r="B9" s="667"/>
      <c r="C9" s="53"/>
      <c r="D9" s="53"/>
      <c r="E9" s="53"/>
      <c r="F9" s="735"/>
      <c r="G9" s="735"/>
      <c r="H9" s="735"/>
      <c r="I9" s="735"/>
      <c r="J9" s="735"/>
      <c r="K9" s="192"/>
    </row>
    <row r="10" spans="2:12" x14ac:dyDescent="0.25">
      <c r="F10" s="14"/>
      <c r="G10" s="14"/>
      <c r="H10" s="14"/>
      <c r="I10" s="14"/>
      <c r="J10" s="14"/>
      <c r="K10" s="14"/>
    </row>
    <row r="11" spans="2:12" hidden="1" outlineLevel="1" x14ac:dyDescent="0.25">
      <c r="B11" t="s">
        <v>682</v>
      </c>
    </row>
    <row r="12" spans="2:12" ht="45" hidden="1" outlineLevel="1" x14ac:dyDescent="0.25">
      <c r="B12" s="318" t="s">
        <v>676</v>
      </c>
      <c r="C12" s="318"/>
      <c r="D12" s="318"/>
      <c r="E12" s="318"/>
      <c r="F12" s="261" t="s">
        <v>678</v>
      </c>
      <c r="G12" s="261" t="s">
        <v>677</v>
      </c>
      <c r="H12" s="318"/>
      <c r="I12" s="261" t="s">
        <v>679</v>
      </c>
      <c r="J12" s="261" t="s">
        <v>680</v>
      </c>
      <c r="K12" s="261" t="s">
        <v>6</v>
      </c>
    </row>
    <row r="13" spans="2:12" ht="30" hidden="1" outlineLevel="1" x14ac:dyDescent="0.25">
      <c r="B13" s="319" t="s">
        <v>681</v>
      </c>
      <c r="C13" s="319"/>
      <c r="D13" s="319"/>
      <c r="E13" s="319"/>
      <c r="F13" s="665">
        <v>0.30881909755197362</v>
      </c>
      <c r="G13" s="665">
        <v>0.15489332451817117</v>
      </c>
      <c r="H13" s="662"/>
      <c r="I13" s="665">
        <v>0.42070477820427504</v>
      </c>
      <c r="J13" s="665">
        <v>0.11558279972558014</v>
      </c>
      <c r="K13" s="665">
        <f>SUM(F13:J13)</f>
        <v>1</v>
      </c>
    </row>
    <row r="14" spans="2:12" hidden="1" outlineLevel="1" x14ac:dyDescent="0.25"/>
    <row r="15" spans="2:12" hidden="1" outlineLevel="1" x14ac:dyDescent="0.25">
      <c r="B15" t="s">
        <v>687</v>
      </c>
      <c r="C15" t="s">
        <v>18</v>
      </c>
      <c r="D15" t="s">
        <v>42</v>
      </c>
      <c r="E15" t="s">
        <v>194</v>
      </c>
      <c r="F15" s="14">
        <f>(1-$L$16)*F$6</f>
        <v>3664.91200665423</v>
      </c>
      <c r="G15" s="14">
        <f>(1-$L$16)*G$6</f>
        <v>1792.6176968922546</v>
      </c>
      <c r="H15" s="14">
        <f>(1-$L$16)*H$6</f>
        <v>962.23008849557505</v>
      </c>
      <c r="I15" s="14">
        <f>(1-$L$16)*I$6</f>
        <v>4854.9547584759021</v>
      </c>
      <c r="J15" s="14">
        <f>(1-$L$16)*J$6</f>
        <v>1371.6793871716393</v>
      </c>
      <c r="K15" s="14">
        <f>SUM(F15:J15)</f>
        <v>12646.393937689601</v>
      </c>
    </row>
    <row r="16" spans="2:12" hidden="1" outlineLevel="1" x14ac:dyDescent="0.25">
      <c r="C16" t="s">
        <v>42</v>
      </c>
      <c r="D16" t="s">
        <v>22</v>
      </c>
      <c r="E16" t="s">
        <v>196</v>
      </c>
      <c r="F16" s="14">
        <f>$L$16*F$6</f>
        <v>646.74917764486406</v>
      </c>
      <c r="G16" s="14">
        <f>$L$16*G$6</f>
        <v>316.34429945157433</v>
      </c>
      <c r="H16" s="14">
        <f>$L$16*H$6</f>
        <v>169.80530973451323</v>
      </c>
      <c r="I16" s="14">
        <f>$L$16*I$6</f>
        <v>856.75672208398271</v>
      </c>
      <c r="J16" s="14">
        <f>$L$16*J$6</f>
        <v>242.06106832440693</v>
      </c>
      <c r="K16" s="14">
        <f>SUM(F16:J16)</f>
        <v>2231.7165772393409</v>
      </c>
      <c r="L16" s="673">
        <v>0.15</v>
      </c>
    </row>
    <row r="17" spans="2:11" hidden="1" outlineLevel="1" x14ac:dyDescent="0.25">
      <c r="C17" t="s">
        <v>211</v>
      </c>
      <c r="D17" t="s">
        <v>83</v>
      </c>
      <c r="E17" t="s">
        <v>214</v>
      </c>
      <c r="F17" s="40">
        <f>F7</f>
        <v>0</v>
      </c>
      <c r="G17" s="40">
        <f>G7</f>
        <v>0</v>
      </c>
      <c r="H17" s="40">
        <f>H7</f>
        <v>0</v>
      </c>
      <c r="I17" s="40">
        <f>I7</f>
        <v>1886.7256637168136</v>
      </c>
      <c r="J17" s="40">
        <f>J7</f>
        <v>0</v>
      </c>
      <c r="K17" s="40">
        <f>SUM(F17:J17)</f>
        <v>1886.7256637168136</v>
      </c>
    </row>
    <row r="18" spans="2:11" hidden="1" outlineLevel="1" x14ac:dyDescent="0.25">
      <c r="B18" t="s">
        <v>688</v>
      </c>
      <c r="F18" s="14">
        <f t="shared" ref="F18:K18" si="0">SUM(F15:F17)</f>
        <v>4311.6611842990942</v>
      </c>
      <c r="G18" s="14">
        <f t="shared" si="0"/>
        <v>2108.961996343829</v>
      </c>
      <c r="H18" s="14">
        <f t="shared" si="0"/>
        <v>1132.0353982300883</v>
      </c>
      <c r="I18" s="14">
        <f t="shared" si="0"/>
        <v>7598.4371442766987</v>
      </c>
      <c r="J18" s="14">
        <f t="shared" si="0"/>
        <v>1613.7404554960463</v>
      </c>
      <c r="K18" s="14">
        <f t="shared" si="0"/>
        <v>16764.836178645757</v>
      </c>
    </row>
    <row r="19" spans="2:11" hidden="1" outlineLevel="1" x14ac:dyDescent="0.25">
      <c r="F19" s="19">
        <f t="shared" ref="F19:K19" si="1">F18-F8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  <c r="K19" s="19">
        <f t="shared" si="1"/>
        <v>0</v>
      </c>
    </row>
    <row r="20" spans="2:11" collapsed="1" x14ac:dyDescent="0.25"/>
  </sheetData>
  <mergeCells count="1">
    <mergeCell ref="F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Z45"/>
  <sheetViews>
    <sheetView zoomScale="85" zoomScaleNormal="85" workbookViewId="0">
      <selection activeCell="B24" sqref="B24"/>
    </sheetView>
  </sheetViews>
  <sheetFormatPr defaultRowHeight="15" x14ac:dyDescent="0.25"/>
  <cols>
    <col min="1" max="1" width="3.28515625" customWidth="1"/>
    <col min="2" max="2" width="50.85546875" bestFit="1" customWidth="1"/>
    <col min="3" max="3" width="10.42578125" customWidth="1"/>
    <col min="4" max="7" width="9.140625" customWidth="1"/>
    <col min="9" max="9" width="8.7109375" customWidth="1"/>
    <col min="12" max="12" width="9.85546875" customWidth="1"/>
    <col min="13" max="13" width="7.7109375" customWidth="1"/>
  </cols>
  <sheetData>
    <row r="2" spans="2:16" x14ac:dyDescent="0.25">
      <c r="B2" s="25" t="s">
        <v>451</v>
      </c>
      <c r="C2" s="25"/>
      <c r="D2" s="415" t="s">
        <v>433</v>
      </c>
      <c r="G2" s="785" t="s">
        <v>432</v>
      </c>
      <c r="H2" s="785"/>
    </row>
    <row r="3" spans="2:16" x14ac:dyDescent="0.25">
      <c r="N3" s="479" t="s">
        <v>525</v>
      </c>
      <c r="O3" s="479" t="s">
        <v>526</v>
      </c>
    </row>
    <row r="4" spans="2:16" x14ac:dyDescent="0.25">
      <c r="C4" s="409" t="s">
        <v>309</v>
      </c>
      <c r="D4" s="409">
        <v>2016</v>
      </c>
      <c r="E4" s="409">
        <v>2017</v>
      </c>
      <c r="F4" s="409">
        <v>2018</v>
      </c>
      <c r="G4" s="409">
        <v>2019</v>
      </c>
      <c r="H4" s="409">
        <v>2020</v>
      </c>
      <c r="I4" s="409">
        <v>2021</v>
      </c>
      <c r="J4" s="409">
        <v>2022</v>
      </c>
      <c r="K4" s="409">
        <v>2023</v>
      </c>
      <c r="L4" s="409" t="s">
        <v>6</v>
      </c>
      <c r="N4" s="479" t="s">
        <v>6</v>
      </c>
      <c r="O4" s="479" t="s">
        <v>6</v>
      </c>
    </row>
    <row r="5" spans="2:16" x14ac:dyDescent="0.25">
      <c r="B5" t="s">
        <v>137</v>
      </c>
    </row>
    <row r="6" spans="2:16" x14ac:dyDescent="0.25">
      <c r="B6" s="164" t="s">
        <v>441</v>
      </c>
      <c r="C6" s="409" t="s">
        <v>444</v>
      </c>
      <c r="D6" s="786"/>
      <c r="E6" s="786"/>
      <c r="F6" s="786"/>
      <c r="G6" s="787"/>
      <c r="H6" s="787"/>
      <c r="I6" s="786"/>
      <c r="J6" s="786"/>
      <c r="K6" s="786"/>
      <c r="L6" s="786"/>
      <c r="N6" s="786"/>
      <c r="O6" s="786"/>
    </row>
    <row r="7" spans="2:16" x14ac:dyDescent="0.25">
      <c r="B7" s="165" t="s">
        <v>672</v>
      </c>
      <c r="C7" s="657" t="s">
        <v>444</v>
      </c>
      <c r="D7" s="786"/>
      <c r="E7" s="786"/>
      <c r="F7" s="786"/>
      <c r="G7" s="787"/>
      <c r="H7" s="787"/>
      <c r="I7" s="786"/>
      <c r="J7" s="786"/>
      <c r="K7" s="786"/>
      <c r="L7" s="786"/>
      <c r="N7" s="786"/>
      <c r="O7" s="786"/>
    </row>
    <row r="8" spans="2:16" x14ac:dyDescent="0.25">
      <c r="D8" s="425"/>
      <c r="E8" s="425"/>
      <c r="F8" s="425"/>
      <c r="G8" s="425"/>
      <c r="H8" s="425"/>
      <c r="I8" s="425"/>
      <c r="J8" s="425"/>
      <c r="K8" s="425"/>
      <c r="L8" s="425"/>
      <c r="N8" s="425"/>
    </row>
    <row r="9" spans="2:16" x14ac:dyDescent="0.25">
      <c r="B9" t="s">
        <v>518</v>
      </c>
      <c r="N9" s="480"/>
      <c r="O9" s="46"/>
    </row>
    <row r="10" spans="2:16" x14ac:dyDescent="0.25">
      <c r="B10" s="164" t="s">
        <v>516</v>
      </c>
      <c r="C10" s="439" t="s">
        <v>519</v>
      </c>
      <c r="D10" s="424"/>
      <c r="E10" s="424"/>
      <c r="F10" s="424"/>
      <c r="G10" s="424"/>
      <c r="H10" s="600">
        <v>0</v>
      </c>
      <c r="I10" s="600">
        <v>25</v>
      </c>
      <c r="J10" s="600">
        <v>25</v>
      </c>
      <c r="K10" s="600">
        <v>0</v>
      </c>
      <c r="L10" s="425">
        <f>SUM(D10:K10)</f>
        <v>50</v>
      </c>
      <c r="N10" s="425">
        <f>SUM(D10:H10)</f>
        <v>0</v>
      </c>
      <c r="O10" s="425">
        <f>L10-N10</f>
        <v>50</v>
      </c>
    </row>
    <row r="11" spans="2:16" x14ac:dyDescent="0.25">
      <c r="B11" s="164" t="s">
        <v>491</v>
      </c>
      <c r="C11" s="439" t="s">
        <v>519</v>
      </c>
      <c r="D11" s="424"/>
      <c r="E11" s="424"/>
      <c r="F11" s="424"/>
      <c r="G11" s="424"/>
      <c r="H11" s="600">
        <v>0</v>
      </c>
      <c r="I11" s="600">
        <v>25</v>
      </c>
      <c r="J11" s="600">
        <v>25</v>
      </c>
      <c r="K11" s="600">
        <v>0</v>
      </c>
      <c r="L11" s="425">
        <f>SUM(D11:K11)</f>
        <v>50</v>
      </c>
      <c r="N11" s="425">
        <f>SUM(D11:H11)</f>
        <v>0</v>
      </c>
      <c r="O11" s="425">
        <f>L11-N11</f>
        <v>50</v>
      </c>
    </row>
    <row r="12" spans="2:16" x14ac:dyDescent="0.25">
      <c r="B12" s="164" t="s">
        <v>517</v>
      </c>
      <c r="C12" s="439" t="s">
        <v>494</v>
      </c>
      <c r="D12" s="424"/>
      <c r="E12" s="424"/>
      <c r="F12" s="424"/>
      <c r="G12" s="424"/>
      <c r="H12" s="600">
        <v>0</v>
      </c>
      <c r="I12" s="600">
        <v>2500</v>
      </c>
      <c r="J12" s="600">
        <v>2500</v>
      </c>
      <c r="K12" s="600">
        <v>0</v>
      </c>
      <c r="L12" s="425">
        <f>SUM(D12:K12)</f>
        <v>5000</v>
      </c>
      <c r="N12" s="425">
        <f>SUM(D12:H12)</f>
        <v>0</v>
      </c>
      <c r="O12" s="425">
        <f>L12-N12</f>
        <v>5000</v>
      </c>
    </row>
    <row r="13" spans="2:16" x14ac:dyDescent="0.25">
      <c r="D13" s="425"/>
      <c r="E13" s="425"/>
      <c r="F13" s="425"/>
      <c r="G13" s="425"/>
      <c r="H13" s="425"/>
      <c r="I13" s="425"/>
      <c r="J13" s="425"/>
      <c r="K13" s="425"/>
      <c r="L13" s="425"/>
      <c r="N13" s="425"/>
    </row>
    <row r="14" spans="2:16" x14ac:dyDescent="0.25">
      <c r="B14" t="s">
        <v>443</v>
      </c>
      <c r="C14" s="636"/>
      <c r="D14" s="425"/>
      <c r="E14" s="425"/>
      <c r="F14" s="425"/>
      <c r="G14" s="425"/>
      <c r="H14" s="425"/>
      <c r="I14" s="425"/>
      <c r="J14" s="425"/>
      <c r="K14" s="425"/>
      <c r="L14" s="425"/>
      <c r="N14" s="425"/>
    </row>
    <row r="15" spans="2:16" x14ac:dyDescent="0.25">
      <c r="B15" s="164" t="s">
        <v>266</v>
      </c>
      <c r="C15" s="409" t="s">
        <v>444</v>
      </c>
      <c r="D15" s="424"/>
      <c r="E15" s="424"/>
      <c r="F15" s="424"/>
      <c r="G15" s="600"/>
      <c r="H15" s="600"/>
      <c r="I15" s="424"/>
      <c r="J15" s="424"/>
      <c r="K15" s="424"/>
      <c r="L15" s="480">
        <f>SUM(D15:K15)</f>
        <v>0</v>
      </c>
      <c r="N15" s="425">
        <f>SUM(D15:H15)</f>
        <v>0</v>
      </c>
      <c r="O15" s="425">
        <f>L15-N15</f>
        <v>0</v>
      </c>
      <c r="P15" t="s">
        <v>655</v>
      </c>
    </row>
    <row r="16" spans="2:16" x14ac:dyDescent="0.25">
      <c r="B16" s="164" t="s">
        <v>267</v>
      </c>
      <c r="C16" s="409" t="s">
        <v>444</v>
      </c>
      <c r="D16" s="424"/>
      <c r="E16" s="424"/>
      <c r="F16" s="424"/>
      <c r="G16" s="600"/>
      <c r="H16" s="600"/>
      <c r="I16" s="424"/>
      <c r="J16" s="424"/>
      <c r="K16" s="424"/>
      <c r="L16" s="480">
        <f>SUM(D16:K16)</f>
        <v>0</v>
      </c>
      <c r="N16" s="425">
        <f>SUM(D16:H16)</f>
        <v>0</v>
      </c>
      <c r="O16" s="425">
        <f>L16-N16</f>
        <v>0</v>
      </c>
    </row>
    <row r="17" spans="2:26" x14ac:dyDescent="0.25">
      <c r="B17" s="164" t="s">
        <v>268</v>
      </c>
      <c r="C17" s="409" t="s">
        <v>444</v>
      </c>
      <c r="D17" s="424"/>
      <c r="E17" s="424"/>
      <c r="F17" s="424"/>
      <c r="G17" s="600"/>
      <c r="H17" s="600"/>
      <c r="I17" s="424"/>
      <c r="J17" s="424"/>
      <c r="K17" s="424"/>
      <c r="L17" s="480">
        <f>SUM(D17:K17)</f>
        <v>0</v>
      </c>
      <c r="N17" s="425">
        <f>SUM(D17:H17)</f>
        <v>0</v>
      </c>
      <c r="O17" s="425">
        <f>L17-N17</f>
        <v>0</v>
      </c>
    </row>
    <row r="18" spans="2:26" x14ac:dyDescent="0.25">
      <c r="D18" s="425"/>
      <c r="E18" s="425"/>
      <c r="F18" s="425"/>
      <c r="G18" s="425"/>
      <c r="H18" s="425"/>
      <c r="I18" s="425"/>
      <c r="J18" s="425"/>
      <c r="K18" s="425"/>
      <c r="L18" s="425"/>
      <c r="N18" s="425"/>
    </row>
    <row r="19" spans="2:26" x14ac:dyDescent="0.25">
      <c r="B19" t="s">
        <v>359</v>
      </c>
      <c r="C19" s="636"/>
      <c r="D19" s="425"/>
      <c r="E19" s="425"/>
      <c r="F19" s="425"/>
      <c r="G19" s="425"/>
      <c r="H19" s="425"/>
      <c r="I19" s="425"/>
      <c r="J19" s="425"/>
      <c r="K19" s="425"/>
      <c r="L19" s="425"/>
      <c r="N19" s="425"/>
    </row>
    <row r="20" spans="2:26" x14ac:dyDescent="0.25">
      <c r="B20" s="164" t="s">
        <v>445</v>
      </c>
      <c r="C20" s="409" t="s">
        <v>308</v>
      </c>
      <c r="D20" s="424"/>
      <c r="E20" s="424"/>
      <c r="F20" s="424"/>
      <c r="G20" s="424"/>
      <c r="H20" s="424"/>
      <c r="I20" s="424"/>
      <c r="J20" s="424"/>
      <c r="K20" s="424"/>
      <c r="L20" s="425">
        <f>SUM(D20:K20)</f>
        <v>0</v>
      </c>
      <c r="N20" s="425">
        <f>SUM(D20:H20)</f>
        <v>0</v>
      </c>
      <c r="O20" s="425">
        <f>L20-N20</f>
        <v>0</v>
      </c>
    </row>
    <row r="21" spans="2:26" x14ac:dyDescent="0.25">
      <c r="B21" s="164" t="s">
        <v>442</v>
      </c>
      <c r="C21" s="409" t="s">
        <v>308</v>
      </c>
      <c r="D21" s="424"/>
      <c r="E21" s="424"/>
      <c r="F21" s="424"/>
      <c r="G21" s="424"/>
      <c r="H21" s="424"/>
      <c r="I21" s="424"/>
      <c r="J21" s="424"/>
      <c r="K21" s="424"/>
      <c r="L21" s="425">
        <f>SUM(D21:K21)</f>
        <v>0</v>
      </c>
      <c r="N21" s="425">
        <f>SUM(D21:H21)</f>
        <v>0</v>
      </c>
      <c r="O21" s="425">
        <f>L21-N21</f>
        <v>0</v>
      </c>
    </row>
    <row r="22" spans="2:26" x14ac:dyDescent="0.25">
      <c r="N22" s="425"/>
    </row>
    <row r="23" spans="2:26" x14ac:dyDescent="0.25">
      <c r="N23" s="425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2:26" x14ac:dyDescent="0.25">
      <c r="B24" s="141" t="s">
        <v>603</v>
      </c>
      <c r="N24" s="479" t="s">
        <v>525</v>
      </c>
      <c r="O24" s="479" t="s">
        <v>526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2:26" x14ac:dyDescent="0.25">
      <c r="D25" s="409">
        <v>2016</v>
      </c>
      <c r="E25" s="409">
        <v>2017</v>
      </c>
      <c r="F25" s="409">
        <v>2018</v>
      </c>
      <c r="G25" s="409">
        <v>2019</v>
      </c>
      <c r="H25" s="409">
        <v>2020</v>
      </c>
      <c r="I25" s="409">
        <v>2021</v>
      </c>
      <c r="J25" s="409">
        <v>2022</v>
      </c>
      <c r="K25" s="409">
        <v>2023</v>
      </c>
      <c r="L25" s="409" t="s">
        <v>6</v>
      </c>
      <c r="N25" s="479" t="s">
        <v>6</v>
      </c>
      <c r="O25" s="479" t="s">
        <v>6</v>
      </c>
      <c r="Q25" s="46"/>
      <c r="R25" s="46"/>
      <c r="S25" s="482"/>
      <c r="T25" s="482"/>
      <c r="U25" s="482"/>
      <c r="V25" s="482"/>
      <c r="W25" s="482"/>
      <c r="X25" s="482"/>
      <c r="Y25" s="482"/>
      <c r="Z25" s="482"/>
    </row>
    <row r="26" spans="2:26" x14ac:dyDescent="0.25">
      <c r="B26" t="s">
        <v>532</v>
      </c>
      <c r="C26" s="428" t="s">
        <v>574</v>
      </c>
      <c r="D26" s="658">
        <v>0</v>
      </c>
      <c r="E26" s="658">
        <v>0</v>
      </c>
      <c r="F26" s="658">
        <v>0</v>
      </c>
      <c r="G26" s="658">
        <v>0</v>
      </c>
      <c r="H26" s="658">
        <v>0</v>
      </c>
      <c r="I26" s="658">
        <v>0</v>
      </c>
      <c r="J26" s="658">
        <v>74.600368324125228</v>
      </c>
      <c r="K26" s="658">
        <v>0</v>
      </c>
      <c r="L26" s="38">
        <f>SUM(D26:K26)</f>
        <v>74.600368324125228</v>
      </c>
      <c r="N26" s="425">
        <f>SUM(D26:H26)</f>
        <v>0</v>
      </c>
      <c r="O26" s="425">
        <f>L26-N26</f>
        <v>74.600368324125228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2:26" x14ac:dyDescent="0.25">
      <c r="B27" t="s">
        <v>536</v>
      </c>
      <c r="C27" s="428" t="s">
        <v>574</v>
      </c>
      <c r="D27" s="658">
        <v>0</v>
      </c>
      <c r="E27" s="658">
        <v>0</v>
      </c>
      <c r="F27" s="658">
        <v>0</v>
      </c>
      <c r="G27" s="658">
        <v>0</v>
      </c>
      <c r="H27" s="658">
        <v>0</v>
      </c>
      <c r="I27" s="658">
        <v>114.27357419221775</v>
      </c>
      <c r="J27" s="658">
        <v>114.27357419221775</v>
      </c>
      <c r="K27" s="658">
        <v>0</v>
      </c>
      <c r="L27" s="38">
        <f>SUM(D27:K27)</f>
        <v>228.5471483844355</v>
      </c>
      <c r="N27" s="425">
        <f>SUM(D27:H27)</f>
        <v>0</v>
      </c>
      <c r="O27" s="425">
        <f>L27-N27</f>
        <v>228.5471483844355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2:26" x14ac:dyDescent="0.25">
      <c r="N28" s="425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2:26" x14ac:dyDescent="0.25">
      <c r="B29" t="s">
        <v>656</v>
      </c>
      <c r="N29" s="425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2:26" x14ac:dyDescent="0.25">
      <c r="B30" s="164" t="s">
        <v>447</v>
      </c>
      <c r="C30" s="428" t="s">
        <v>574</v>
      </c>
      <c r="D30" s="658">
        <v>0</v>
      </c>
      <c r="E30" s="658">
        <v>0</v>
      </c>
      <c r="F30" s="658">
        <v>0</v>
      </c>
      <c r="G30" s="658">
        <v>134.0015113983718</v>
      </c>
      <c r="H30" s="658">
        <v>0</v>
      </c>
      <c r="I30" s="658">
        <v>0</v>
      </c>
      <c r="J30" s="658">
        <v>0</v>
      </c>
      <c r="K30" s="658">
        <v>0</v>
      </c>
      <c r="L30" s="6">
        <f>SUM(D30:K30)</f>
        <v>134.0015113983718</v>
      </c>
      <c r="N30" s="425">
        <f>SUM(D30:H30)</f>
        <v>134.0015113983718</v>
      </c>
      <c r="O30" s="425">
        <f>L30-N30</f>
        <v>0</v>
      </c>
      <c r="Q30" s="46"/>
      <c r="R30" s="643"/>
      <c r="S30" s="46"/>
      <c r="T30" s="46"/>
      <c r="U30" s="46"/>
      <c r="V30" s="140"/>
      <c r="W30" s="46"/>
      <c r="X30" s="46"/>
      <c r="Y30" s="46"/>
      <c r="Z30" s="46"/>
    </row>
    <row r="31" spans="2:26" x14ac:dyDescent="0.25">
      <c r="B31" s="164" t="s">
        <v>446</v>
      </c>
      <c r="C31" s="428" t="s">
        <v>574</v>
      </c>
      <c r="D31" s="658">
        <v>0</v>
      </c>
      <c r="E31" s="658">
        <v>0</v>
      </c>
      <c r="F31" s="658">
        <v>0</v>
      </c>
      <c r="G31" s="658">
        <v>39.090597345132736</v>
      </c>
      <c r="H31" s="658">
        <v>0</v>
      </c>
      <c r="I31" s="658">
        <v>0</v>
      </c>
      <c r="J31" s="658">
        <v>0</v>
      </c>
      <c r="K31" s="658">
        <v>0</v>
      </c>
      <c r="L31" s="6">
        <f>SUM(D31:K31)</f>
        <v>39.090597345132736</v>
      </c>
      <c r="N31" s="425">
        <f>SUM(D31:H31)</f>
        <v>39.090597345132736</v>
      </c>
      <c r="O31" s="425">
        <f>L31-N31</f>
        <v>0</v>
      </c>
      <c r="Q31" s="46"/>
      <c r="R31" s="643"/>
      <c r="S31" s="46"/>
      <c r="T31" s="46"/>
      <c r="U31" s="46"/>
      <c r="V31" s="140"/>
      <c r="W31" s="46"/>
      <c r="X31" s="46"/>
      <c r="Y31" s="46"/>
      <c r="Z31" s="46"/>
    </row>
    <row r="32" spans="2:26" x14ac:dyDescent="0.25">
      <c r="B32" s="164"/>
      <c r="C32" s="428"/>
      <c r="D32" s="581"/>
      <c r="E32" s="581"/>
      <c r="F32" s="581"/>
      <c r="G32" s="581"/>
      <c r="H32" s="581"/>
      <c r="I32" s="581"/>
      <c r="J32" s="581"/>
      <c r="K32" s="581"/>
      <c r="L32" s="6"/>
      <c r="N32" s="425"/>
      <c r="O32" s="425"/>
      <c r="Q32" s="46"/>
      <c r="R32" s="643"/>
      <c r="S32" s="46"/>
      <c r="T32" s="46"/>
      <c r="U32" s="46"/>
      <c r="V32" s="46"/>
      <c r="W32" s="46"/>
      <c r="X32" s="46"/>
      <c r="Y32" s="46"/>
      <c r="Z32" s="46"/>
    </row>
    <row r="33" spans="2:26" x14ac:dyDescent="0.25">
      <c r="B33" s="199" t="s">
        <v>160</v>
      </c>
      <c r="C33" s="443"/>
      <c r="D33" s="48"/>
      <c r="E33" s="48"/>
      <c r="F33" s="48"/>
      <c r="G33" s="48"/>
      <c r="H33" s="48"/>
      <c r="I33" s="48"/>
      <c r="J33" s="48"/>
      <c r="K33" s="48"/>
      <c r="L33" s="6"/>
      <c r="N33" s="425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2:26" x14ac:dyDescent="0.25">
      <c r="B34" s="199"/>
      <c r="C34" s="443"/>
      <c r="L34" s="6"/>
      <c r="N34" s="425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2:26" x14ac:dyDescent="0.25">
      <c r="B35" t="s">
        <v>534</v>
      </c>
      <c r="C35" s="442"/>
      <c r="N35" s="425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2:26" x14ac:dyDescent="0.25">
      <c r="B36" s="164" t="s">
        <v>311</v>
      </c>
      <c r="C36" s="428" t="s">
        <v>574</v>
      </c>
      <c r="D36" s="658">
        <v>0</v>
      </c>
      <c r="E36" s="658">
        <v>0</v>
      </c>
      <c r="F36" s="658">
        <v>0</v>
      </c>
      <c r="G36" s="658">
        <v>0</v>
      </c>
      <c r="H36" s="658">
        <v>0</v>
      </c>
      <c r="I36" s="658">
        <v>0</v>
      </c>
      <c r="J36" s="658">
        <v>0</v>
      </c>
      <c r="K36" s="658">
        <v>0</v>
      </c>
      <c r="L36" s="6">
        <f>SUM(D36:K36)</f>
        <v>0</v>
      </c>
      <c r="N36" s="425">
        <f>SUM(D36:H36)</f>
        <v>0</v>
      </c>
      <c r="O36" s="425">
        <f>L36-N36</f>
        <v>0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2:26" x14ac:dyDescent="0.25">
      <c r="B37" s="164" t="s">
        <v>529</v>
      </c>
      <c r="C37" s="428" t="s">
        <v>574</v>
      </c>
      <c r="D37" s="658">
        <v>0</v>
      </c>
      <c r="E37" s="658">
        <v>0</v>
      </c>
      <c r="F37" s="658">
        <v>0</v>
      </c>
      <c r="G37" s="658">
        <v>0</v>
      </c>
      <c r="H37" s="658">
        <v>0</v>
      </c>
      <c r="I37" s="658">
        <v>0</v>
      </c>
      <c r="J37" s="658">
        <v>0</v>
      </c>
      <c r="K37" s="658">
        <v>0</v>
      </c>
      <c r="L37" s="6">
        <f>SUM(D37:K37)</f>
        <v>0</v>
      </c>
      <c r="N37" s="425">
        <f>SUM(D37:H37)</f>
        <v>0</v>
      </c>
      <c r="O37" s="425">
        <f>L37-N37</f>
        <v>0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2:26" x14ac:dyDescent="0.25">
      <c r="B38" s="25"/>
      <c r="C38" s="442"/>
      <c r="D38" s="48"/>
      <c r="E38" s="48"/>
      <c r="F38" s="48"/>
      <c r="G38" s="48"/>
      <c r="H38" s="48"/>
      <c r="I38" s="48"/>
      <c r="J38" s="48"/>
      <c r="K38" s="48"/>
      <c r="N38" s="425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2:26" x14ac:dyDescent="0.25">
      <c r="B39" t="s">
        <v>706</v>
      </c>
      <c r="C39" s="442"/>
      <c r="N39" s="425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2:26" x14ac:dyDescent="0.25">
      <c r="B40" s="164" t="s">
        <v>555</v>
      </c>
      <c r="C40" s="428" t="s">
        <v>574</v>
      </c>
      <c r="D40" s="658">
        <v>0</v>
      </c>
      <c r="E40" s="658">
        <v>0</v>
      </c>
      <c r="F40" s="658">
        <v>0</v>
      </c>
      <c r="G40" s="658">
        <v>12.735398230088494</v>
      </c>
      <c r="H40" s="658">
        <v>0</v>
      </c>
      <c r="I40" s="658">
        <v>40.753274336283177</v>
      </c>
      <c r="J40" s="658">
        <v>27.168849557522122</v>
      </c>
      <c r="K40" s="658">
        <v>0</v>
      </c>
      <c r="L40" s="6">
        <f>SUM(D40:K40)</f>
        <v>80.657522123893784</v>
      </c>
      <c r="M40" s="698">
        <v>0.30000000000000004</v>
      </c>
      <c r="N40" s="425">
        <f>SUM(D40:H40)</f>
        <v>12.735398230088494</v>
      </c>
      <c r="O40" s="425">
        <f>L40-N40</f>
        <v>67.922123893805292</v>
      </c>
      <c r="Q40" s="46"/>
      <c r="R40" s="643"/>
      <c r="S40" s="46"/>
      <c r="T40" s="46"/>
      <c r="U40" s="46"/>
      <c r="V40" s="46"/>
      <c r="W40" s="46"/>
      <c r="X40" s="46"/>
      <c r="Y40" s="46"/>
      <c r="Z40" s="46"/>
    </row>
    <row r="41" spans="2:26" x14ac:dyDescent="0.25">
      <c r="B41" s="164" t="s">
        <v>557</v>
      </c>
      <c r="C41" s="428" t="s">
        <v>574</v>
      </c>
      <c r="D41" s="658">
        <v>0</v>
      </c>
      <c r="E41" s="658">
        <v>0</v>
      </c>
      <c r="F41" s="658">
        <v>0</v>
      </c>
      <c r="G41" s="658">
        <v>8.2797428078838333</v>
      </c>
      <c r="H41" s="658">
        <v>0</v>
      </c>
      <c r="I41" s="658">
        <v>26.495176985228269</v>
      </c>
      <c r="J41" s="658">
        <v>17.663451323485511</v>
      </c>
      <c r="K41" s="658">
        <v>0</v>
      </c>
      <c r="L41" s="6">
        <f>SUM(D41:K41)</f>
        <v>52.438371116597615</v>
      </c>
      <c r="M41" s="698">
        <v>0.19999999999999996</v>
      </c>
      <c r="N41" s="425">
        <f>SUM(D41:H41)</f>
        <v>8.2797428078838333</v>
      </c>
      <c r="O41" s="425">
        <f>L41-N41</f>
        <v>44.15862830871378</v>
      </c>
      <c r="Q41" s="46"/>
      <c r="R41" s="643"/>
      <c r="S41" s="46"/>
      <c r="T41" s="46"/>
      <c r="U41" s="46"/>
      <c r="V41" s="46"/>
      <c r="W41" s="46"/>
      <c r="X41" s="46"/>
      <c r="Y41" s="46"/>
      <c r="Z41" s="46"/>
    </row>
    <row r="42" spans="2:26" x14ac:dyDescent="0.25">
      <c r="B42" s="164" t="s">
        <v>556</v>
      </c>
      <c r="C42" s="428" t="s">
        <v>574</v>
      </c>
      <c r="D42" s="658">
        <v>0</v>
      </c>
      <c r="E42" s="658">
        <v>0</v>
      </c>
      <c r="F42" s="658">
        <v>0</v>
      </c>
      <c r="G42" s="658">
        <v>20.639996515657224</v>
      </c>
      <c r="H42" s="658">
        <v>0</v>
      </c>
      <c r="I42" s="658">
        <v>66.047988850103124</v>
      </c>
      <c r="J42" s="658">
        <v>44.031992566735418</v>
      </c>
      <c r="K42" s="658">
        <v>0</v>
      </c>
      <c r="L42" s="6">
        <f>SUM(D42:K42)</f>
        <v>130.71997793249577</v>
      </c>
      <c r="M42" s="698">
        <v>0.5</v>
      </c>
      <c r="N42" s="425">
        <f>SUM(D42:H42)</f>
        <v>20.639996515657224</v>
      </c>
      <c r="O42" s="425">
        <f>L42-N42</f>
        <v>110.07998141683854</v>
      </c>
      <c r="Q42" s="46"/>
      <c r="R42" s="643"/>
      <c r="S42" s="46"/>
      <c r="T42" s="46"/>
      <c r="U42" s="46"/>
      <c r="V42" s="46"/>
      <c r="W42" s="46"/>
      <c r="X42" s="46"/>
      <c r="Y42" s="46"/>
      <c r="Z42" s="46"/>
    </row>
    <row r="43" spans="2:26" x14ac:dyDescent="0.25">
      <c r="B43" s="25"/>
      <c r="C43" s="442"/>
      <c r="D43" s="48"/>
      <c r="E43" s="48"/>
      <c r="F43" s="48"/>
      <c r="G43" s="699"/>
      <c r="H43" s="699"/>
      <c r="I43" s="699"/>
      <c r="J43" s="699"/>
      <c r="K43" s="48"/>
      <c r="L43" s="14">
        <f>SUM(L40:L42)</f>
        <v>263.81587117298716</v>
      </c>
      <c r="N43" s="425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2:26" x14ac:dyDescent="0.25">
      <c r="B44" t="s">
        <v>359</v>
      </c>
      <c r="C44" s="409"/>
      <c r="D44" s="48"/>
      <c r="E44" s="48"/>
      <c r="F44" s="48"/>
      <c r="G44" s="48"/>
      <c r="H44" s="48"/>
      <c r="I44" s="48"/>
      <c r="J44" s="48"/>
      <c r="K44" s="48"/>
      <c r="N44" s="425"/>
    </row>
    <row r="45" spans="2:26" x14ac:dyDescent="0.25">
      <c r="B45" s="164" t="s">
        <v>448</v>
      </c>
      <c r="C45" s="428" t="s">
        <v>574</v>
      </c>
      <c r="D45" s="505"/>
      <c r="E45" s="505"/>
      <c r="F45" s="505"/>
      <c r="G45" s="505"/>
      <c r="H45" s="505"/>
      <c r="I45" s="505"/>
      <c r="J45" s="505"/>
      <c r="K45" s="505"/>
      <c r="L45" s="6">
        <f>SUM(D45:K45)</f>
        <v>0</v>
      </c>
      <c r="N45" s="425">
        <f>SUM(D45:H45)</f>
        <v>0</v>
      </c>
      <c r="O45" s="425">
        <f>L45-N45</f>
        <v>0</v>
      </c>
    </row>
  </sheetData>
  <mergeCells count="1">
    <mergeCell ref="G2:H2"/>
  </mergeCells>
  <pageMargins left="0.7" right="0.7" top="0.75" bottom="0.75" header="0.3" footer="0.3"/>
  <pageSetup paperSize="9" scale="97" orientation="landscape" r:id="rId1"/>
  <colBreaks count="1" manualBreakCount="1">
    <brk id="12" max="1048575" man="1"/>
  </colBreaks>
  <ignoredErrors>
    <ignoredError sqref="N10:N12 N3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H56"/>
  <sheetViews>
    <sheetView zoomScale="85" zoomScaleNormal="85" workbookViewId="0">
      <selection activeCell="M22" sqref="M22"/>
    </sheetView>
  </sheetViews>
  <sheetFormatPr defaultRowHeight="15" x14ac:dyDescent="0.25"/>
  <cols>
    <col min="1" max="1" width="4.7109375" customWidth="1"/>
    <col min="13" max="13" width="9" customWidth="1"/>
    <col min="28" max="29" width="9.140625" customWidth="1"/>
  </cols>
  <sheetData>
    <row r="2" spans="2:33" x14ac:dyDescent="0.25">
      <c r="B2" s="22" t="s">
        <v>437</v>
      </c>
      <c r="C2" s="22"/>
      <c r="J2" s="415" t="s">
        <v>433</v>
      </c>
      <c r="K2" t="s">
        <v>469</v>
      </c>
    </row>
    <row r="3" spans="2:33" x14ac:dyDescent="0.25">
      <c r="B3" s="22"/>
      <c r="C3" s="22"/>
    </row>
    <row r="4" spans="2:33" x14ac:dyDescent="0.25">
      <c r="B4" t="s">
        <v>418</v>
      </c>
      <c r="E4" s="48"/>
      <c r="P4" t="s">
        <v>572</v>
      </c>
      <c r="S4" s="635"/>
      <c r="W4" t="s">
        <v>573</v>
      </c>
      <c r="Y4" s="635"/>
    </row>
    <row r="5" spans="2:33" x14ac:dyDescent="0.25">
      <c r="C5" s="387">
        <v>2015</v>
      </c>
      <c r="D5" s="363">
        <v>2016</v>
      </c>
      <c r="E5" s="363">
        <v>2017</v>
      </c>
      <c r="F5" s="363">
        <v>2018</v>
      </c>
      <c r="G5" s="363">
        <v>2019</v>
      </c>
      <c r="H5" s="363">
        <v>2020</v>
      </c>
      <c r="I5" s="409">
        <v>2021</v>
      </c>
      <c r="J5" s="409">
        <v>2022</v>
      </c>
      <c r="K5" s="409">
        <v>2023</v>
      </c>
      <c r="L5" s="409" t="s">
        <v>435</v>
      </c>
      <c r="M5" s="409" t="s">
        <v>72</v>
      </c>
      <c r="Q5" s="479" t="s">
        <v>569</v>
      </c>
      <c r="R5" s="479" t="s">
        <v>570</v>
      </c>
      <c r="S5" s="479" t="s">
        <v>575</v>
      </c>
      <c r="T5" s="479" t="s">
        <v>576</v>
      </c>
      <c r="U5" s="479" t="s">
        <v>571</v>
      </c>
      <c r="W5" s="479" t="s">
        <v>569</v>
      </c>
      <c r="X5" s="479" t="s">
        <v>570</v>
      </c>
      <c r="Y5" s="479" t="s">
        <v>575</v>
      </c>
      <c r="Z5" s="479" t="s">
        <v>576</v>
      </c>
      <c r="AA5" s="479" t="s">
        <v>571</v>
      </c>
    </row>
    <row r="6" spans="2:33" x14ac:dyDescent="0.25">
      <c r="B6" t="str">
        <f>STN_1</f>
        <v>BN</v>
      </c>
      <c r="C6" s="388"/>
      <c r="D6" s="419"/>
      <c r="E6" s="419"/>
      <c r="F6" s="622">
        <v>0</v>
      </c>
      <c r="G6" s="622">
        <v>0</v>
      </c>
      <c r="H6" s="622">
        <v>0.35000000000000003</v>
      </c>
      <c r="I6" s="622">
        <v>0.54999999999999993</v>
      </c>
      <c r="J6" s="622">
        <v>9.9999999999999992E-2</v>
      </c>
      <c r="K6" s="419"/>
      <c r="L6" s="16">
        <f t="shared" ref="L6:L11" si="0">SUM(C6:K6)</f>
        <v>0.99999999999999989</v>
      </c>
      <c r="M6" s="16">
        <f t="shared" ref="M6:M11" si="1">1-L6</f>
        <v>0</v>
      </c>
      <c r="P6" t="str">
        <f>STN_1</f>
        <v>BN</v>
      </c>
      <c r="Q6" s="16">
        <f t="shared" ref="Q6:Q11" si="2">SUM(D6:H6)</f>
        <v>0.35000000000000003</v>
      </c>
      <c r="R6" s="16">
        <f t="shared" ref="R6:R11" si="3">SUM(D15:H15)</f>
        <v>0.43125000000000002</v>
      </c>
      <c r="S6" s="723">
        <v>1</v>
      </c>
      <c r="T6" s="16">
        <f t="shared" ref="T6:T11" si="4">SUM(D33:H33)</f>
        <v>0.38928571428571429</v>
      </c>
      <c r="U6" s="16">
        <f t="shared" ref="U6:U11" si="5">SUM(D42:H42)</f>
        <v>0.42857142857142855</v>
      </c>
      <c r="W6" s="16">
        <f t="shared" ref="W6:W11" si="6">SUM(I6:K6)</f>
        <v>0.64999999999999991</v>
      </c>
      <c r="X6" s="16">
        <f t="shared" ref="X6:X11" si="7">SUM(I15:K15)</f>
        <v>0.56875000000000009</v>
      </c>
      <c r="Y6" s="723">
        <v>0</v>
      </c>
      <c r="Z6" s="16">
        <f t="shared" ref="Z6:Z11" si="8">SUM(I33:K33)</f>
        <v>0.61071428571428577</v>
      </c>
      <c r="AA6" s="16">
        <f t="shared" ref="AA6:AA11" si="9">SUM(I42:K42)</f>
        <v>0.5714285714285714</v>
      </c>
      <c r="AC6" s="16"/>
      <c r="AD6" s="16"/>
      <c r="AE6" s="16"/>
      <c r="AF6" s="16"/>
      <c r="AG6" s="16"/>
    </row>
    <row r="7" spans="2:33" x14ac:dyDescent="0.25">
      <c r="B7" t="str">
        <f>STN_2</f>
        <v>KLO</v>
      </c>
      <c r="C7" s="388"/>
      <c r="D7" s="419"/>
      <c r="E7" s="419"/>
      <c r="F7" s="622">
        <v>0</v>
      </c>
      <c r="G7" s="622">
        <v>0</v>
      </c>
      <c r="H7" s="622">
        <v>0</v>
      </c>
      <c r="I7" s="622">
        <v>0.44999999999999996</v>
      </c>
      <c r="J7" s="622">
        <v>0.55000000000000004</v>
      </c>
      <c r="K7" s="419"/>
      <c r="L7" s="16">
        <f t="shared" si="0"/>
        <v>1</v>
      </c>
      <c r="M7" s="16">
        <f t="shared" si="1"/>
        <v>0</v>
      </c>
      <c r="P7" t="str">
        <f>STN_2</f>
        <v>KLO</v>
      </c>
      <c r="Q7" s="16">
        <f t="shared" si="2"/>
        <v>0</v>
      </c>
      <c r="R7" s="16">
        <f t="shared" si="3"/>
        <v>0.13125000000000001</v>
      </c>
      <c r="S7" s="723">
        <v>1</v>
      </c>
      <c r="T7" s="16">
        <f t="shared" si="4"/>
        <v>0</v>
      </c>
      <c r="U7" s="16">
        <f t="shared" si="5"/>
        <v>0</v>
      </c>
      <c r="W7" s="16">
        <f t="shared" si="6"/>
        <v>1</v>
      </c>
      <c r="X7" s="16">
        <f t="shared" si="7"/>
        <v>0.86875000000000002</v>
      </c>
      <c r="Y7" s="723">
        <v>0</v>
      </c>
      <c r="Z7" s="16">
        <f t="shared" si="8"/>
        <v>1</v>
      </c>
      <c r="AA7" s="16">
        <f t="shared" si="9"/>
        <v>1</v>
      </c>
      <c r="AC7" s="16"/>
      <c r="AD7" s="16"/>
      <c r="AE7" s="16"/>
      <c r="AF7" s="16"/>
      <c r="AG7" s="16"/>
    </row>
    <row r="8" spans="2:33" x14ac:dyDescent="0.25">
      <c r="B8" t="str">
        <f>STN_3</f>
        <v>LLG</v>
      </c>
      <c r="C8" s="388"/>
      <c r="D8" s="419"/>
      <c r="E8" s="419"/>
      <c r="F8" s="622">
        <v>0</v>
      </c>
      <c r="G8" s="622">
        <v>0</v>
      </c>
      <c r="H8" s="622">
        <v>0.15</v>
      </c>
      <c r="I8" s="622">
        <v>0.7</v>
      </c>
      <c r="J8" s="622">
        <v>0.15</v>
      </c>
      <c r="K8" s="419"/>
      <c r="L8" s="16">
        <f t="shared" si="0"/>
        <v>1</v>
      </c>
      <c r="M8" s="16">
        <f t="shared" si="1"/>
        <v>0</v>
      </c>
      <c r="P8" t="str">
        <f>STN_3</f>
        <v>LLG</v>
      </c>
      <c r="Q8" s="16">
        <f t="shared" si="2"/>
        <v>0.15</v>
      </c>
      <c r="R8" s="16">
        <f t="shared" si="3"/>
        <v>0.21875</v>
      </c>
      <c r="S8" s="723">
        <v>1</v>
      </c>
      <c r="T8" s="16">
        <f t="shared" si="4"/>
        <v>7.5000000000000011E-2</v>
      </c>
      <c r="U8" s="16">
        <f t="shared" si="5"/>
        <v>0.12499999999999997</v>
      </c>
      <c r="W8" s="16">
        <f t="shared" si="6"/>
        <v>0.85</v>
      </c>
      <c r="X8" s="16">
        <f t="shared" si="7"/>
        <v>0.78125</v>
      </c>
      <c r="Y8" s="723">
        <v>0</v>
      </c>
      <c r="Z8" s="16">
        <f t="shared" si="8"/>
        <v>0.92500000000000004</v>
      </c>
      <c r="AA8" s="16">
        <f t="shared" si="9"/>
        <v>0.87500000000000011</v>
      </c>
      <c r="AC8" s="16"/>
      <c r="AD8" s="16"/>
      <c r="AE8" s="16"/>
      <c r="AF8" s="16"/>
      <c r="AG8" s="16"/>
    </row>
    <row r="9" spans="2:33" x14ac:dyDescent="0.25">
      <c r="B9" t="str">
        <f>STN_4</f>
        <v>MSD</v>
      </c>
      <c r="C9" s="388"/>
      <c r="D9" s="419"/>
      <c r="E9" s="419"/>
      <c r="F9" s="622">
        <v>0</v>
      </c>
      <c r="G9" s="622">
        <v>0.5</v>
      </c>
      <c r="H9" s="622">
        <v>0.5</v>
      </c>
      <c r="I9" s="622">
        <v>0</v>
      </c>
      <c r="J9" s="622">
        <v>0</v>
      </c>
      <c r="K9" s="419"/>
      <c r="L9" s="16">
        <f t="shared" si="0"/>
        <v>1</v>
      </c>
      <c r="M9" s="16">
        <f t="shared" si="1"/>
        <v>0</v>
      </c>
      <c r="P9" t="str">
        <f>STN_4</f>
        <v>MSD</v>
      </c>
      <c r="Q9" s="16">
        <f t="shared" si="2"/>
        <v>1</v>
      </c>
      <c r="R9" s="16">
        <f t="shared" si="3"/>
        <v>1</v>
      </c>
      <c r="S9" s="723">
        <v>1</v>
      </c>
      <c r="T9" s="16">
        <f t="shared" si="4"/>
        <v>1</v>
      </c>
      <c r="U9" s="16">
        <f t="shared" si="5"/>
        <v>1</v>
      </c>
      <c r="W9" s="16">
        <f t="shared" si="6"/>
        <v>0</v>
      </c>
      <c r="X9" s="16">
        <f t="shared" si="7"/>
        <v>0</v>
      </c>
      <c r="Y9" s="723">
        <v>0</v>
      </c>
      <c r="Z9" s="16">
        <f t="shared" si="8"/>
        <v>0</v>
      </c>
      <c r="AA9" s="16">
        <f t="shared" si="9"/>
        <v>0</v>
      </c>
      <c r="AC9" s="16"/>
      <c r="AD9" s="16"/>
      <c r="AE9" s="16"/>
      <c r="AF9" s="16"/>
      <c r="AG9" s="16"/>
    </row>
    <row r="10" spans="2:33" x14ac:dyDescent="0.25">
      <c r="B10" t="str">
        <f>STN_5</f>
        <v>SLE</v>
      </c>
      <c r="C10" s="388"/>
      <c r="D10" s="419"/>
      <c r="E10" s="419"/>
      <c r="F10" s="622">
        <v>0</v>
      </c>
      <c r="G10" s="622">
        <v>0</v>
      </c>
      <c r="H10" s="622">
        <v>0.27499999999999997</v>
      </c>
      <c r="I10" s="622">
        <v>0.57499999999999996</v>
      </c>
      <c r="J10" s="622">
        <v>0.15</v>
      </c>
      <c r="K10" s="419"/>
      <c r="L10" s="16">
        <f t="shared" si="0"/>
        <v>0.99999999999999989</v>
      </c>
      <c r="M10" s="16">
        <f t="shared" si="1"/>
        <v>0</v>
      </c>
      <c r="P10" t="str">
        <f>STN_5</f>
        <v>SLE</v>
      </c>
      <c r="Q10" s="16">
        <f t="shared" si="2"/>
        <v>0.27499999999999997</v>
      </c>
      <c r="R10" s="16">
        <f t="shared" si="3"/>
        <v>0.47499999999999998</v>
      </c>
      <c r="S10" s="723">
        <v>1</v>
      </c>
      <c r="T10" s="16">
        <f t="shared" si="4"/>
        <v>0.42499999999999993</v>
      </c>
      <c r="U10" s="16">
        <f t="shared" si="5"/>
        <v>0.42857142857142855</v>
      </c>
      <c r="W10" s="16">
        <f t="shared" si="6"/>
        <v>0.72499999999999998</v>
      </c>
      <c r="X10" s="16">
        <f t="shared" si="7"/>
        <v>0.52499999999999991</v>
      </c>
      <c r="Y10" s="723">
        <v>0</v>
      </c>
      <c r="Z10" s="16">
        <f t="shared" si="8"/>
        <v>0.57499999999999996</v>
      </c>
      <c r="AA10" s="16">
        <f t="shared" si="9"/>
        <v>0.5714285714285714</v>
      </c>
      <c r="AC10" s="16"/>
      <c r="AD10" s="16"/>
      <c r="AE10" s="16"/>
      <c r="AF10" s="16"/>
      <c r="AG10" s="16"/>
    </row>
    <row r="11" spans="2:33" x14ac:dyDescent="0.25">
      <c r="B11" t="str">
        <f>STN_9</f>
        <v>KLO2</v>
      </c>
      <c r="C11" s="388"/>
      <c r="D11" s="419"/>
      <c r="E11" s="419"/>
      <c r="F11" s="419"/>
      <c r="G11" s="419"/>
      <c r="H11" s="419">
        <v>0.7</v>
      </c>
      <c r="I11" s="419">
        <v>0.2</v>
      </c>
      <c r="J11" s="419">
        <v>0.1</v>
      </c>
      <c r="K11" s="419"/>
      <c r="L11" s="16">
        <f t="shared" si="0"/>
        <v>0.99999999999999989</v>
      </c>
      <c r="M11" s="16">
        <f t="shared" si="1"/>
        <v>0</v>
      </c>
      <c r="P11" t="str">
        <f>STN_9</f>
        <v>KLO2</v>
      </c>
      <c r="Q11" s="16">
        <f t="shared" si="2"/>
        <v>0.7</v>
      </c>
      <c r="R11" s="16">
        <f t="shared" si="3"/>
        <v>0.1</v>
      </c>
      <c r="S11" s="723">
        <v>1</v>
      </c>
      <c r="T11" s="16">
        <f t="shared" si="4"/>
        <v>0</v>
      </c>
      <c r="U11" s="16">
        <f t="shared" si="5"/>
        <v>0</v>
      </c>
      <c r="W11" s="16">
        <f t="shared" si="6"/>
        <v>0.30000000000000004</v>
      </c>
      <c r="X11" s="16">
        <f t="shared" si="7"/>
        <v>0.9</v>
      </c>
      <c r="Y11" s="723">
        <v>0</v>
      </c>
      <c r="Z11" s="16">
        <f t="shared" si="8"/>
        <v>1</v>
      </c>
      <c r="AA11" s="16">
        <f t="shared" si="9"/>
        <v>1</v>
      </c>
      <c r="AC11" s="16"/>
      <c r="AD11" s="16"/>
      <c r="AE11" s="16"/>
      <c r="AF11" s="16"/>
      <c r="AG11" s="16"/>
    </row>
    <row r="13" spans="2:33" x14ac:dyDescent="0.25">
      <c r="B13" t="s">
        <v>419</v>
      </c>
    </row>
    <row r="14" spans="2:33" x14ac:dyDescent="0.25">
      <c r="C14" s="387">
        <v>2015</v>
      </c>
      <c r="D14" s="363">
        <v>2016</v>
      </c>
      <c r="E14" s="363">
        <v>2017</v>
      </c>
      <c r="F14" s="363">
        <v>2018</v>
      </c>
      <c r="G14" s="363">
        <v>2019</v>
      </c>
      <c r="H14" s="363">
        <v>2020</v>
      </c>
      <c r="I14" s="409">
        <v>2021</v>
      </c>
      <c r="J14" s="409">
        <v>2022</v>
      </c>
      <c r="K14" s="409">
        <v>2023</v>
      </c>
      <c r="L14" s="409" t="s">
        <v>435</v>
      </c>
      <c r="M14" s="409" t="s">
        <v>72</v>
      </c>
    </row>
    <row r="15" spans="2:33" x14ac:dyDescent="0.25">
      <c r="B15" t="str">
        <f>STN_1</f>
        <v>BN</v>
      </c>
      <c r="C15" s="388"/>
      <c r="D15" s="419"/>
      <c r="E15" s="419"/>
      <c r="F15" s="622">
        <v>0</v>
      </c>
      <c r="G15" s="622">
        <v>9.3749999999999986E-2</v>
      </c>
      <c r="H15" s="622">
        <v>0.33750000000000002</v>
      </c>
      <c r="I15" s="622">
        <v>0.45000000000000007</v>
      </c>
      <c r="J15" s="622">
        <v>0.11874999999999998</v>
      </c>
      <c r="K15" s="419"/>
      <c r="L15" s="16">
        <f t="shared" ref="L15:L20" si="10">SUM(C15:K15)</f>
        <v>1</v>
      </c>
      <c r="M15" s="16">
        <f t="shared" ref="M15:M20" si="11">1-L15</f>
        <v>0</v>
      </c>
    </row>
    <row r="16" spans="2:33" x14ac:dyDescent="0.25">
      <c r="B16" t="str">
        <f>STN_2</f>
        <v>KLO</v>
      </c>
      <c r="C16" s="388"/>
      <c r="D16" s="419"/>
      <c r="E16" s="419"/>
      <c r="F16" s="622">
        <v>0</v>
      </c>
      <c r="G16" s="622">
        <v>5.6250000000000001E-2</v>
      </c>
      <c r="H16" s="622">
        <v>7.4999999999999997E-2</v>
      </c>
      <c r="I16" s="622">
        <v>0.5</v>
      </c>
      <c r="J16" s="622">
        <v>0.36875000000000002</v>
      </c>
      <c r="K16" s="419"/>
      <c r="L16" s="16">
        <f t="shared" si="10"/>
        <v>1</v>
      </c>
      <c r="M16" s="16">
        <f t="shared" si="11"/>
        <v>0</v>
      </c>
    </row>
    <row r="17" spans="2:34" x14ac:dyDescent="0.25">
      <c r="B17" t="str">
        <f>STN_3</f>
        <v>LLG</v>
      </c>
      <c r="C17" s="388"/>
      <c r="D17" s="419"/>
      <c r="E17" s="419"/>
      <c r="F17" s="622">
        <v>0</v>
      </c>
      <c r="G17" s="622">
        <v>5.6250000000000008E-2</v>
      </c>
      <c r="H17" s="622">
        <v>0.16250000000000001</v>
      </c>
      <c r="I17" s="622">
        <v>0.65</v>
      </c>
      <c r="J17" s="622">
        <v>0.13124999999999998</v>
      </c>
      <c r="K17" s="419"/>
      <c r="L17" s="16">
        <f t="shared" si="10"/>
        <v>1</v>
      </c>
      <c r="M17" s="16">
        <f t="shared" si="11"/>
        <v>0</v>
      </c>
      <c r="V17" s="722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</row>
    <row r="18" spans="2:34" x14ac:dyDescent="0.25">
      <c r="B18" t="str">
        <f>STN_4</f>
        <v>MSD</v>
      </c>
      <c r="C18" s="388"/>
      <c r="D18" s="419"/>
      <c r="E18" s="419"/>
      <c r="F18" s="622">
        <v>0</v>
      </c>
      <c r="G18" s="622">
        <v>0.61875000000000013</v>
      </c>
      <c r="H18" s="622">
        <v>0.38124999999999998</v>
      </c>
      <c r="I18" s="622">
        <v>0</v>
      </c>
      <c r="J18" s="622">
        <v>0</v>
      </c>
      <c r="K18" s="419"/>
      <c r="L18" s="16">
        <f t="shared" si="10"/>
        <v>1</v>
      </c>
      <c r="M18" s="16">
        <f t="shared" si="11"/>
        <v>0</v>
      </c>
      <c r="V18" s="224"/>
      <c r="W18" s="224"/>
      <c r="X18" s="224"/>
      <c r="Y18" s="224"/>
      <c r="Z18" s="224"/>
      <c r="AA18" s="224"/>
      <c r="AB18" s="301"/>
      <c r="AC18" s="301"/>
      <c r="AD18" s="301"/>
      <c r="AE18" s="224"/>
      <c r="AF18" s="224"/>
      <c r="AG18" s="224"/>
      <c r="AH18" s="224"/>
    </row>
    <row r="19" spans="2:34" x14ac:dyDescent="0.25">
      <c r="B19" t="str">
        <f>STN_5</f>
        <v>SLE</v>
      </c>
      <c r="C19" s="388"/>
      <c r="D19" s="419"/>
      <c r="E19" s="419"/>
      <c r="F19" s="622">
        <v>0</v>
      </c>
      <c r="G19" s="622">
        <v>0.125</v>
      </c>
      <c r="H19" s="622">
        <v>0.35</v>
      </c>
      <c r="I19" s="622">
        <v>0.42499999999999993</v>
      </c>
      <c r="J19" s="622">
        <v>0.1</v>
      </c>
      <c r="K19" s="419"/>
      <c r="L19" s="16">
        <f t="shared" si="10"/>
        <v>0.99999999999999989</v>
      </c>
      <c r="M19" s="16">
        <f t="shared" si="11"/>
        <v>0</v>
      </c>
      <c r="V19" s="224"/>
      <c r="W19" s="301"/>
      <c r="X19" s="301"/>
      <c r="Y19" s="301"/>
      <c r="Z19" s="301"/>
      <c r="AA19" s="301"/>
      <c r="AB19" s="301"/>
      <c r="AC19" s="301"/>
      <c r="AD19" s="301"/>
      <c r="AE19" s="224"/>
      <c r="AF19" s="301"/>
      <c r="AG19" s="301"/>
      <c r="AH19" s="301"/>
    </row>
    <row r="20" spans="2:34" x14ac:dyDescent="0.25">
      <c r="B20" t="str">
        <f>STN_9</f>
        <v>KLO2</v>
      </c>
      <c r="C20" s="388"/>
      <c r="D20" s="419"/>
      <c r="E20" s="419"/>
      <c r="F20" s="419"/>
      <c r="G20" s="419"/>
      <c r="H20" s="419">
        <v>0.1</v>
      </c>
      <c r="I20" s="419">
        <v>0.5</v>
      </c>
      <c r="J20" s="419">
        <v>0.4</v>
      </c>
      <c r="K20" s="419"/>
      <c r="L20" s="16">
        <f t="shared" si="10"/>
        <v>1</v>
      </c>
      <c r="M20" s="16">
        <f t="shared" si="11"/>
        <v>0</v>
      </c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</row>
    <row r="21" spans="2:34" x14ac:dyDescent="0.25"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</row>
    <row r="22" spans="2:34" x14ac:dyDescent="0.25">
      <c r="B22" t="s">
        <v>659</v>
      </c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</row>
    <row r="23" spans="2:34" x14ac:dyDescent="0.25">
      <c r="C23" s="387">
        <v>2015</v>
      </c>
      <c r="D23" s="656">
        <v>2016</v>
      </c>
      <c r="E23" s="656">
        <v>2017</v>
      </c>
      <c r="F23" s="656">
        <v>2018</v>
      </c>
      <c r="G23" s="656">
        <v>2019</v>
      </c>
      <c r="H23" s="656">
        <v>2020</v>
      </c>
      <c r="I23" s="656">
        <v>2021</v>
      </c>
      <c r="J23" s="656">
        <v>2022</v>
      </c>
      <c r="K23" s="656">
        <v>2023</v>
      </c>
      <c r="L23" s="656" t="s">
        <v>435</v>
      </c>
      <c r="M23" s="656" t="s">
        <v>72</v>
      </c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</row>
    <row r="24" spans="2:34" x14ac:dyDescent="0.25">
      <c r="B24" t="str">
        <f>STN_1</f>
        <v>BN</v>
      </c>
      <c r="C24" s="388"/>
      <c r="D24" s="419"/>
      <c r="E24" s="419"/>
      <c r="F24" s="622">
        <v>0</v>
      </c>
      <c r="G24" s="622">
        <v>0.2</v>
      </c>
      <c r="H24" s="622">
        <v>0.8</v>
      </c>
      <c r="I24" s="622">
        <v>0</v>
      </c>
      <c r="J24" s="622">
        <v>0</v>
      </c>
      <c r="K24" s="419"/>
      <c r="L24" s="16">
        <f t="shared" ref="L24:L29" si="12">SUM(C24:K24)</f>
        <v>1</v>
      </c>
      <c r="M24" s="16">
        <f t="shared" ref="M24:M29" si="13">1-L24</f>
        <v>0</v>
      </c>
      <c r="N24" s="392"/>
      <c r="O24" s="46"/>
      <c r="P24" s="46"/>
      <c r="Q24" s="46"/>
      <c r="R24" s="46"/>
      <c r="S24" s="46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</row>
    <row r="25" spans="2:34" x14ac:dyDescent="0.25">
      <c r="B25" t="str">
        <f>STN_2</f>
        <v>KLO</v>
      </c>
      <c r="C25" s="388"/>
      <c r="D25" s="419"/>
      <c r="E25" s="419"/>
      <c r="F25" s="622">
        <v>0</v>
      </c>
      <c r="G25" s="622">
        <v>0.2</v>
      </c>
      <c r="H25" s="622">
        <v>0.8</v>
      </c>
      <c r="I25" s="622">
        <v>0</v>
      </c>
      <c r="J25" s="622">
        <v>0</v>
      </c>
      <c r="K25" s="419"/>
      <c r="L25" s="16">
        <f t="shared" si="12"/>
        <v>1</v>
      </c>
      <c r="M25" s="16">
        <f t="shared" si="13"/>
        <v>0</v>
      </c>
      <c r="N25" s="392"/>
      <c r="O25" s="46"/>
      <c r="P25" s="46"/>
      <c r="Q25" s="46"/>
      <c r="R25" s="46"/>
      <c r="S25" s="46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</row>
    <row r="26" spans="2:34" x14ac:dyDescent="0.25">
      <c r="B26" t="str">
        <f>STN_3</f>
        <v>LLG</v>
      </c>
      <c r="C26" s="388"/>
      <c r="D26" s="419"/>
      <c r="E26" s="419"/>
      <c r="F26" s="622">
        <v>0</v>
      </c>
      <c r="G26" s="622">
        <v>0.2</v>
      </c>
      <c r="H26" s="622">
        <v>0.8</v>
      </c>
      <c r="I26" s="622">
        <v>0</v>
      </c>
      <c r="J26" s="622">
        <v>0</v>
      </c>
      <c r="K26" s="419"/>
      <c r="L26" s="16">
        <f t="shared" si="12"/>
        <v>1</v>
      </c>
      <c r="M26" s="16">
        <f t="shared" si="13"/>
        <v>0</v>
      </c>
      <c r="N26" s="392"/>
      <c r="O26" s="46"/>
      <c r="P26" s="46"/>
      <c r="Q26" s="46"/>
      <c r="R26" s="46"/>
      <c r="S26" s="46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</row>
    <row r="27" spans="2:34" x14ac:dyDescent="0.25">
      <c r="B27" t="str">
        <f>STN_4</f>
        <v>MSD</v>
      </c>
      <c r="C27" s="388"/>
      <c r="D27" s="419"/>
      <c r="E27" s="419"/>
      <c r="F27" s="622">
        <v>0</v>
      </c>
      <c r="G27" s="622">
        <v>1</v>
      </c>
      <c r="H27" s="622">
        <v>0</v>
      </c>
      <c r="I27" s="622">
        <v>0</v>
      </c>
      <c r="J27" s="622">
        <v>0</v>
      </c>
      <c r="K27" s="419"/>
      <c r="L27" s="16">
        <f t="shared" si="12"/>
        <v>1</v>
      </c>
      <c r="M27" s="16">
        <f t="shared" si="13"/>
        <v>0</v>
      </c>
      <c r="N27" s="46"/>
      <c r="O27" s="46"/>
      <c r="P27" s="46"/>
      <c r="Q27" s="46"/>
      <c r="R27" s="46"/>
      <c r="S27" s="46"/>
      <c r="V27" s="224"/>
      <c r="W27" s="224"/>
      <c r="X27" s="224"/>
      <c r="Y27" s="224"/>
      <c r="Z27" s="224"/>
      <c r="AA27" s="224"/>
      <c r="AB27" s="301"/>
      <c r="AC27" s="301"/>
      <c r="AD27" s="301"/>
      <c r="AE27" s="224"/>
      <c r="AF27" s="224"/>
      <c r="AG27" s="224"/>
      <c r="AH27" s="224"/>
    </row>
    <row r="28" spans="2:34" x14ac:dyDescent="0.25">
      <c r="B28" t="str">
        <f>STN_5</f>
        <v>SLE</v>
      </c>
      <c r="C28" s="388"/>
      <c r="D28" s="419"/>
      <c r="E28" s="419"/>
      <c r="F28" s="622">
        <v>0</v>
      </c>
      <c r="G28" s="622">
        <v>0.2</v>
      </c>
      <c r="H28" s="622">
        <v>0.8</v>
      </c>
      <c r="I28" s="622">
        <v>0</v>
      </c>
      <c r="J28" s="622">
        <v>0</v>
      </c>
      <c r="K28" s="419"/>
      <c r="L28" s="16">
        <f t="shared" si="12"/>
        <v>1</v>
      </c>
      <c r="M28" s="16">
        <f t="shared" si="13"/>
        <v>0</v>
      </c>
      <c r="N28" s="392"/>
      <c r="O28" s="46"/>
      <c r="P28" s="46"/>
      <c r="Q28" s="46"/>
      <c r="R28" s="46"/>
      <c r="S28" s="46"/>
      <c r="V28" s="224"/>
      <c r="W28" s="301"/>
      <c r="X28" s="301"/>
      <c r="Y28" s="301"/>
      <c r="Z28" s="301"/>
      <c r="AA28" s="301"/>
      <c r="AB28" s="301"/>
      <c r="AC28" s="301"/>
      <c r="AD28" s="301"/>
      <c r="AE28" s="224"/>
      <c r="AF28" s="224"/>
      <c r="AG28" s="224"/>
      <c r="AH28" s="224"/>
    </row>
    <row r="29" spans="2:34" x14ac:dyDescent="0.25">
      <c r="B29" t="str">
        <f>STN_9</f>
        <v>KLO2</v>
      </c>
      <c r="C29" s="388"/>
      <c r="D29" s="419"/>
      <c r="E29" s="419"/>
      <c r="F29" s="419"/>
      <c r="G29" s="419"/>
      <c r="H29" s="419">
        <v>1</v>
      </c>
      <c r="I29" s="419"/>
      <c r="J29" s="419"/>
      <c r="K29" s="419"/>
      <c r="L29" s="16">
        <f t="shared" si="12"/>
        <v>1</v>
      </c>
      <c r="M29" s="16">
        <f t="shared" si="13"/>
        <v>0</v>
      </c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</row>
    <row r="30" spans="2:34" x14ac:dyDescent="0.25"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</row>
    <row r="31" spans="2:34" x14ac:dyDescent="0.25">
      <c r="B31" t="s">
        <v>660</v>
      </c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</row>
    <row r="32" spans="2:34" x14ac:dyDescent="0.25">
      <c r="C32" s="387">
        <v>2015</v>
      </c>
      <c r="D32" s="363">
        <v>2016</v>
      </c>
      <c r="E32" s="363">
        <v>2017</v>
      </c>
      <c r="F32" s="363">
        <v>2018</v>
      </c>
      <c r="G32" s="363">
        <v>2019</v>
      </c>
      <c r="H32" s="363">
        <v>2020</v>
      </c>
      <c r="I32" s="409">
        <v>2021</v>
      </c>
      <c r="J32" s="409">
        <v>2022</v>
      </c>
      <c r="K32" s="409">
        <v>2023</v>
      </c>
      <c r="L32" s="409" t="s">
        <v>435</v>
      </c>
      <c r="M32" s="409" t="s">
        <v>72</v>
      </c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</row>
    <row r="33" spans="2:34" x14ac:dyDescent="0.25">
      <c r="B33" t="str">
        <f>STN_1</f>
        <v>BN</v>
      </c>
      <c r="C33" s="388"/>
      <c r="D33" s="419"/>
      <c r="E33" s="419"/>
      <c r="F33" s="622">
        <v>0</v>
      </c>
      <c r="G33" s="622">
        <v>0</v>
      </c>
      <c r="H33" s="622">
        <v>0.38928571428571429</v>
      </c>
      <c r="I33" s="622">
        <v>0.5</v>
      </c>
      <c r="J33" s="622">
        <v>0.11071428571428574</v>
      </c>
      <c r="K33" s="419"/>
      <c r="L33" s="16">
        <f t="shared" ref="L33:L38" si="14">SUM(C33:K33)</f>
        <v>1</v>
      </c>
      <c r="M33" s="16">
        <f t="shared" ref="M33:M38" si="15">1-L33</f>
        <v>0</v>
      </c>
      <c r="N33" s="471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</row>
    <row r="34" spans="2:34" x14ac:dyDescent="0.25">
      <c r="B34" t="str">
        <f>STN_2</f>
        <v>KLO</v>
      </c>
      <c r="C34" s="388"/>
      <c r="D34" s="419"/>
      <c r="E34" s="419"/>
      <c r="F34" s="622">
        <v>0</v>
      </c>
      <c r="G34" s="622">
        <v>0</v>
      </c>
      <c r="H34" s="622">
        <v>0</v>
      </c>
      <c r="I34" s="622">
        <v>0.51818181818181819</v>
      </c>
      <c r="J34" s="622">
        <v>0.48181818181818181</v>
      </c>
      <c r="K34" s="419"/>
      <c r="L34" s="16">
        <f t="shared" si="14"/>
        <v>1</v>
      </c>
      <c r="M34" s="16">
        <f t="shared" si="15"/>
        <v>0</v>
      </c>
      <c r="N34" s="471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</row>
    <row r="35" spans="2:34" x14ac:dyDescent="0.25">
      <c r="B35" t="str">
        <f>STN_3</f>
        <v>LLG</v>
      </c>
      <c r="C35" s="388"/>
      <c r="D35" s="419"/>
      <c r="E35" s="419"/>
      <c r="F35" s="622">
        <v>0</v>
      </c>
      <c r="G35" s="622">
        <v>0</v>
      </c>
      <c r="H35" s="622">
        <v>7.5000000000000011E-2</v>
      </c>
      <c r="I35" s="622">
        <v>0.85000000000000009</v>
      </c>
      <c r="J35" s="622">
        <v>7.5000000000000011E-2</v>
      </c>
      <c r="K35" s="419"/>
      <c r="L35" s="16">
        <f t="shared" si="14"/>
        <v>1</v>
      </c>
      <c r="M35" s="16">
        <f t="shared" si="15"/>
        <v>0</v>
      </c>
      <c r="N35" s="471"/>
    </row>
    <row r="36" spans="2:34" x14ac:dyDescent="0.25">
      <c r="B36" t="str">
        <f>STN_4</f>
        <v>MSD</v>
      </c>
      <c r="C36" s="388"/>
      <c r="D36" s="419"/>
      <c r="E36" s="419"/>
      <c r="F36" s="622">
        <v>0</v>
      </c>
      <c r="G36" s="622">
        <v>0.5</v>
      </c>
      <c r="H36" s="622">
        <v>0.5</v>
      </c>
      <c r="I36" s="622">
        <v>0</v>
      </c>
      <c r="J36" s="622">
        <v>0</v>
      </c>
      <c r="K36" s="419"/>
      <c r="L36" s="16">
        <f t="shared" si="14"/>
        <v>1</v>
      </c>
      <c r="M36" s="16">
        <f t="shared" si="15"/>
        <v>0</v>
      </c>
      <c r="N36" s="471"/>
    </row>
    <row r="37" spans="2:34" x14ac:dyDescent="0.25">
      <c r="B37" t="str">
        <f>STN_5</f>
        <v>SLE</v>
      </c>
      <c r="C37" s="388"/>
      <c r="D37" s="419"/>
      <c r="E37" s="419"/>
      <c r="F37" s="622">
        <v>0</v>
      </c>
      <c r="G37" s="622">
        <v>0</v>
      </c>
      <c r="H37" s="622">
        <v>0.42499999999999993</v>
      </c>
      <c r="I37" s="622">
        <v>0.4642857142857143</v>
      </c>
      <c r="J37" s="622">
        <v>0.11071428571428571</v>
      </c>
      <c r="K37" s="419"/>
      <c r="L37" s="16">
        <f t="shared" si="14"/>
        <v>1</v>
      </c>
      <c r="M37" s="16">
        <f t="shared" si="15"/>
        <v>0</v>
      </c>
      <c r="N37" s="471"/>
    </row>
    <row r="38" spans="2:34" x14ac:dyDescent="0.25">
      <c r="B38" t="str">
        <f>STN_9</f>
        <v>KLO2</v>
      </c>
      <c r="C38" s="388"/>
      <c r="D38" s="419"/>
      <c r="E38" s="419"/>
      <c r="F38" s="419"/>
      <c r="G38" s="419"/>
      <c r="H38" s="419"/>
      <c r="I38" s="419">
        <v>0.5</v>
      </c>
      <c r="J38" s="419">
        <v>0.5</v>
      </c>
      <c r="K38" s="419"/>
      <c r="L38" s="16">
        <f t="shared" si="14"/>
        <v>1</v>
      </c>
      <c r="M38" s="16">
        <f t="shared" si="15"/>
        <v>0</v>
      </c>
    </row>
    <row r="40" spans="2:34" x14ac:dyDescent="0.25">
      <c r="B40" t="s">
        <v>440</v>
      </c>
    </row>
    <row r="41" spans="2:34" x14ac:dyDescent="0.25">
      <c r="C41" s="387">
        <v>2015</v>
      </c>
      <c r="D41" s="363">
        <v>2016</v>
      </c>
      <c r="E41" s="363">
        <v>2017</v>
      </c>
      <c r="F41" s="363">
        <v>2018</v>
      </c>
      <c r="G41" s="363">
        <v>2019</v>
      </c>
      <c r="H41" s="363">
        <v>2020</v>
      </c>
      <c r="I41" s="409">
        <v>2021</v>
      </c>
      <c r="J41" s="409">
        <v>2022</v>
      </c>
      <c r="K41" s="409">
        <v>2023</v>
      </c>
      <c r="L41" s="409" t="s">
        <v>435</v>
      </c>
      <c r="M41" s="409" t="s">
        <v>72</v>
      </c>
    </row>
    <row r="42" spans="2:34" x14ac:dyDescent="0.25">
      <c r="B42" t="str">
        <f>STN_1</f>
        <v>BN</v>
      </c>
      <c r="C42" s="388"/>
      <c r="D42" s="419"/>
      <c r="E42" s="419"/>
      <c r="F42" s="622">
        <v>0</v>
      </c>
      <c r="G42" s="622">
        <v>0</v>
      </c>
      <c r="H42" s="622">
        <v>0.42857142857142855</v>
      </c>
      <c r="I42" s="622">
        <v>0.42857142857142855</v>
      </c>
      <c r="J42" s="622">
        <v>0.14285714285714288</v>
      </c>
      <c r="K42" s="419"/>
      <c r="L42" s="16">
        <f t="shared" ref="L42:L47" si="16">SUM(C42:K42)</f>
        <v>1</v>
      </c>
      <c r="M42" s="16">
        <f t="shared" ref="M42:M47" si="17">1-L42</f>
        <v>0</v>
      </c>
    </row>
    <row r="43" spans="2:34" x14ac:dyDescent="0.25">
      <c r="B43" t="str">
        <f>STN_2</f>
        <v>KLO</v>
      </c>
      <c r="C43" s="388"/>
      <c r="D43" s="419"/>
      <c r="E43" s="419"/>
      <c r="F43" s="622">
        <v>0</v>
      </c>
      <c r="G43" s="622">
        <v>0</v>
      </c>
      <c r="H43" s="622">
        <v>0</v>
      </c>
      <c r="I43" s="622">
        <v>0.54545454545454541</v>
      </c>
      <c r="J43" s="622">
        <v>0.45454545454545453</v>
      </c>
      <c r="K43" s="419"/>
      <c r="L43" s="16">
        <f t="shared" si="16"/>
        <v>1</v>
      </c>
      <c r="M43" s="16">
        <f t="shared" si="17"/>
        <v>0</v>
      </c>
    </row>
    <row r="44" spans="2:34" x14ac:dyDescent="0.25">
      <c r="B44" t="str">
        <f>STN_3</f>
        <v>LLG</v>
      </c>
      <c r="C44" s="388"/>
      <c r="D44" s="419"/>
      <c r="E44" s="419"/>
      <c r="F44" s="622">
        <v>0</v>
      </c>
      <c r="G44" s="622">
        <v>0</v>
      </c>
      <c r="H44" s="622">
        <v>0.12499999999999997</v>
      </c>
      <c r="I44" s="622">
        <v>0.75000000000000011</v>
      </c>
      <c r="J44" s="622">
        <v>0.12499999999999997</v>
      </c>
      <c r="K44" s="419"/>
      <c r="L44" s="16">
        <f t="shared" si="16"/>
        <v>1</v>
      </c>
      <c r="M44" s="16">
        <f t="shared" si="17"/>
        <v>0</v>
      </c>
    </row>
    <row r="45" spans="2:34" x14ac:dyDescent="0.25">
      <c r="B45" t="str">
        <f>STN_4</f>
        <v>MSD</v>
      </c>
      <c r="C45" s="388"/>
      <c r="D45" s="419"/>
      <c r="E45" s="419"/>
      <c r="F45" s="622">
        <v>0</v>
      </c>
      <c r="G45" s="622">
        <v>0.5</v>
      </c>
      <c r="H45" s="622">
        <v>0.5</v>
      </c>
      <c r="I45" s="622">
        <v>0</v>
      </c>
      <c r="J45" s="622">
        <v>0</v>
      </c>
      <c r="K45" s="419"/>
      <c r="L45" s="16">
        <f t="shared" si="16"/>
        <v>1</v>
      </c>
      <c r="M45" s="16">
        <f t="shared" si="17"/>
        <v>0</v>
      </c>
    </row>
    <row r="46" spans="2:34" x14ac:dyDescent="0.25">
      <c r="B46" t="str">
        <f>STN_5</f>
        <v>SLE</v>
      </c>
      <c r="C46" s="388"/>
      <c r="D46" s="419"/>
      <c r="E46" s="419"/>
      <c r="F46" s="622">
        <v>0</v>
      </c>
      <c r="G46" s="622">
        <v>0</v>
      </c>
      <c r="H46" s="622">
        <v>0.42857142857142855</v>
      </c>
      <c r="I46" s="622">
        <v>0.42857142857142855</v>
      </c>
      <c r="J46" s="622">
        <v>0.14285714285714282</v>
      </c>
      <c r="K46" s="419"/>
      <c r="L46" s="16">
        <f t="shared" si="16"/>
        <v>0.99999999999999989</v>
      </c>
      <c r="M46" s="16">
        <f t="shared" si="17"/>
        <v>0</v>
      </c>
    </row>
    <row r="47" spans="2:34" x14ac:dyDescent="0.25">
      <c r="B47" t="str">
        <f>STN_9</f>
        <v>KLO2</v>
      </c>
      <c r="C47" s="388"/>
      <c r="D47" s="419"/>
      <c r="E47" s="419"/>
      <c r="F47" s="419"/>
      <c r="G47" s="419"/>
      <c r="H47" s="419"/>
      <c r="I47" s="419">
        <v>0.5</v>
      </c>
      <c r="J47" s="419">
        <v>0.5</v>
      </c>
      <c r="K47" s="419"/>
      <c r="L47" s="16">
        <f t="shared" si="16"/>
        <v>1</v>
      </c>
      <c r="M47" s="16">
        <f t="shared" si="17"/>
        <v>0</v>
      </c>
    </row>
    <row r="49" spans="2:13" x14ac:dyDescent="0.25">
      <c r="B49" t="s">
        <v>725</v>
      </c>
    </row>
    <row r="50" spans="2:13" x14ac:dyDescent="0.25">
      <c r="C50" s="387">
        <v>2015</v>
      </c>
      <c r="D50" s="675">
        <v>2016</v>
      </c>
      <c r="E50" s="675">
        <v>2017</v>
      </c>
      <c r="F50" s="675">
        <v>2018</v>
      </c>
      <c r="G50" s="675">
        <v>2019</v>
      </c>
      <c r="H50" s="675">
        <v>2020</v>
      </c>
      <c r="I50" s="675">
        <v>2021</v>
      </c>
      <c r="J50" s="675">
        <v>2022</v>
      </c>
      <c r="K50" s="675">
        <v>2023</v>
      </c>
      <c r="L50" s="675" t="s">
        <v>435</v>
      </c>
      <c r="M50" s="675" t="s">
        <v>72</v>
      </c>
    </row>
    <row r="51" spans="2:13" x14ac:dyDescent="0.25">
      <c r="B51" t="str">
        <f>STN_1</f>
        <v>BN</v>
      </c>
      <c r="C51" s="388"/>
      <c r="D51" s="419"/>
      <c r="E51" s="419"/>
      <c r="F51" s="622"/>
      <c r="G51" s="622"/>
      <c r="H51" s="622"/>
      <c r="I51" s="622"/>
      <c r="J51" s="622"/>
      <c r="K51" s="419"/>
      <c r="L51" s="16">
        <f t="shared" ref="L51:L56" si="18">SUM(C51:K51)</f>
        <v>0</v>
      </c>
      <c r="M51" s="16">
        <f t="shared" ref="M51:M56" si="19">1-L51</f>
        <v>1</v>
      </c>
    </row>
    <row r="52" spans="2:13" x14ac:dyDescent="0.25">
      <c r="B52" t="str">
        <f>STN_2</f>
        <v>KLO</v>
      </c>
      <c r="C52" s="388"/>
      <c r="D52" s="419"/>
      <c r="E52" s="419"/>
      <c r="F52" s="622"/>
      <c r="G52" s="622"/>
      <c r="H52" s="622">
        <v>1</v>
      </c>
      <c r="I52" s="622"/>
      <c r="J52" s="622"/>
      <c r="K52" s="419"/>
      <c r="L52" s="16">
        <f t="shared" si="18"/>
        <v>1</v>
      </c>
      <c r="M52" s="16">
        <f t="shared" si="19"/>
        <v>0</v>
      </c>
    </row>
    <row r="53" spans="2:13" x14ac:dyDescent="0.25">
      <c r="B53" t="str">
        <f>STN_3</f>
        <v>LLG</v>
      </c>
      <c r="C53" s="388"/>
      <c r="D53" s="419"/>
      <c r="E53" s="419"/>
      <c r="F53" s="622"/>
      <c r="G53" s="622"/>
      <c r="H53" s="622"/>
      <c r="I53" s="622"/>
      <c r="J53" s="622"/>
      <c r="K53" s="419"/>
      <c r="L53" s="16">
        <f t="shared" si="18"/>
        <v>0</v>
      </c>
      <c r="M53" s="16">
        <f t="shared" si="19"/>
        <v>1</v>
      </c>
    </row>
    <row r="54" spans="2:13" x14ac:dyDescent="0.25">
      <c r="B54" t="str">
        <f>STN_4</f>
        <v>MSD</v>
      </c>
      <c r="C54" s="388"/>
      <c r="D54" s="419"/>
      <c r="E54" s="419"/>
      <c r="F54" s="622"/>
      <c r="G54" s="622"/>
      <c r="H54" s="622"/>
      <c r="I54" s="622"/>
      <c r="J54" s="622"/>
      <c r="K54" s="419"/>
      <c r="L54" s="16">
        <f t="shared" si="18"/>
        <v>0</v>
      </c>
      <c r="M54" s="16">
        <f t="shared" si="19"/>
        <v>1</v>
      </c>
    </row>
    <row r="55" spans="2:13" x14ac:dyDescent="0.25">
      <c r="B55" t="str">
        <f>STN_5</f>
        <v>SLE</v>
      </c>
      <c r="C55" s="388"/>
      <c r="D55" s="419"/>
      <c r="E55" s="419"/>
      <c r="F55" s="622"/>
      <c r="G55" s="622"/>
      <c r="H55" s="622"/>
      <c r="I55" s="622"/>
      <c r="J55" s="622"/>
      <c r="K55" s="419"/>
      <c r="L55" s="16">
        <f t="shared" si="18"/>
        <v>0</v>
      </c>
      <c r="M55" s="16">
        <f t="shared" si="19"/>
        <v>1</v>
      </c>
    </row>
    <row r="56" spans="2:13" x14ac:dyDescent="0.25">
      <c r="B56" t="str">
        <f>STN_9</f>
        <v>KLO2</v>
      </c>
      <c r="C56" s="388"/>
      <c r="D56" s="419"/>
      <c r="E56" s="419"/>
      <c r="F56" s="419"/>
      <c r="G56" s="419"/>
      <c r="H56" s="419">
        <v>1</v>
      </c>
      <c r="I56" s="419"/>
      <c r="J56" s="419"/>
      <c r="K56" s="419"/>
      <c r="L56" s="16">
        <f t="shared" si="18"/>
        <v>1</v>
      </c>
      <c r="M56" s="16">
        <f t="shared" si="19"/>
        <v>0</v>
      </c>
    </row>
  </sheetData>
  <conditionalFormatting sqref="M6:M11 M42:M47 M33:M38 M15:M20">
    <cfRule type="cellIs" dxfId="2" priority="4" operator="notEqual">
      <formula>0</formula>
    </cfRule>
  </conditionalFormatting>
  <conditionalFormatting sqref="M24:M29">
    <cfRule type="cellIs" dxfId="1" priority="2" operator="notEqual">
      <formula>0</formula>
    </cfRule>
  </conditionalFormatting>
  <conditionalFormatting sqref="M51:M56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T6:U10 Q6:R1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Z122"/>
  <sheetViews>
    <sheetView topLeftCell="A76" zoomScaleNormal="100" workbookViewId="0">
      <pane xSplit="2" topLeftCell="C1" activePane="topRight" state="frozen"/>
      <selection activeCell="I5" sqref="I5"/>
      <selection pane="topRight" activeCell="Q92" sqref="Q92"/>
    </sheetView>
  </sheetViews>
  <sheetFormatPr defaultRowHeight="15" x14ac:dyDescent="0.25"/>
  <cols>
    <col min="1" max="1" width="4.140625" customWidth="1"/>
    <col min="2" max="2" width="37.85546875" customWidth="1"/>
    <col min="3" max="7" width="10.7109375" customWidth="1"/>
    <col min="8" max="8" width="10.7109375" style="28" customWidth="1"/>
    <col min="9" max="9" width="4.140625" customWidth="1"/>
    <col min="10" max="10" width="10" customWidth="1"/>
    <col min="11" max="11" width="10.7109375" customWidth="1"/>
    <col min="12" max="13" width="11.7109375" customWidth="1"/>
    <col min="14" max="14" width="9.28515625" bestFit="1" customWidth="1"/>
    <col min="15" max="15" width="11.7109375" style="28" customWidth="1"/>
    <col min="16" max="16" width="3.85546875" customWidth="1"/>
    <col min="17" max="17" width="11.5703125" customWidth="1"/>
    <col min="18" max="18" width="11.28515625" bestFit="1" customWidth="1"/>
    <col min="19" max="19" width="12.7109375" bestFit="1" customWidth="1"/>
    <col min="20" max="20" width="12.7109375" customWidth="1"/>
    <col min="21" max="21" width="10.28515625" customWidth="1"/>
    <col min="22" max="22" width="11.85546875" customWidth="1"/>
    <col min="23" max="23" width="10.42578125" customWidth="1"/>
  </cols>
  <sheetData>
    <row r="1" spans="2:26" ht="15.75" x14ac:dyDescent="0.25">
      <c r="B1" s="123" t="s">
        <v>582</v>
      </c>
      <c r="C1" s="123"/>
      <c r="D1" s="123"/>
      <c r="E1" s="123"/>
      <c r="F1" s="123"/>
      <c r="G1" s="123"/>
      <c r="H1" s="687"/>
      <c r="I1" s="123"/>
      <c r="K1" s="46"/>
    </row>
    <row r="3" spans="2:26" x14ac:dyDescent="0.25">
      <c r="B3" s="25" t="s">
        <v>593</v>
      </c>
      <c r="C3" s="777" t="s">
        <v>567</v>
      </c>
      <c r="D3" s="777"/>
      <c r="E3" s="777"/>
      <c r="F3" s="777"/>
      <c r="G3" s="777"/>
      <c r="H3" s="777"/>
      <c r="I3" s="124"/>
      <c r="J3" s="777" t="s">
        <v>568</v>
      </c>
      <c r="K3" s="777"/>
      <c r="L3" s="777"/>
      <c r="M3" s="777"/>
      <c r="N3" s="777"/>
      <c r="O3" s="777"/>
      <c r="Q3" s="778" t="s">
        <v>119</v>
      </c>
      <c r="R3" s="778"/>
      <c r="S3" s="778"/>
      <c r="T3" s="778"/>
      <c r="U3" s="778"/>
      <c r="V3" s="778"/>
    </row>
    <row r="4" spans="2:26" ht="30" x14ac:dyDescent="0.25">
      <c r="C4" s="535" t="s">
        <v>151</v>
      </c>
      <c r="D4" s="535" t="s">
        <v>63</v>
      </c>
      <c r="E4" s="601" t="s">
        <v>152</v>
      </c>
      <c r="F4" s="601" t="s">
        <v>153</v>
      </c>
      <c r="G4" s="535" t="s">
        <v>77</v>
      </c>
      <c r="H4" s="688" t="s">
        <v>154</v>
      </c>
      <c r="I4" s="471"/>
      <c r="J4" s="535" t="s">
        <v>151</v>
      </c>
      <c r="K4" s="535" t="s">
        <v>63</v>
      </c>
      <c r="L4" s="601" t="s">
        <v>152</v>
      </c>
      <c r="M4" s="601" t="s">
        <v>153</v>
      </c>
      <c r="N4" s="535" t="s">
        <v>77</v>
      </c>
      <c r="O4" s="688" t="s">
        <v>154</v>
      </c>
      <c r="Q4" s="4" t="s">
        <v>151</v>
      </c>
      <c r="R4" s="4" t="s">
        <v>63</v>
      </c>
      <c r="S4" s="13" t="s">
        <v>152</v>
      </c>
      <c r="T4" s="13" t="s">
        <v>153</v>
      </c>
      <c r="U4" s="4" t="s">
        <v>77</v>
      </c>
      <c r="V4" s="13" t="s">
        <v>154</v>
      </c>
      <c r="W4" s="13" t="s">
        <v>72</v>
      </c>
      <c r="X4" s="13" t="s">
        <v>72</v>
      </c>
      <c r="Z4" s="674"/>
    </row>
    <row r="5" spans="2:26" x14ac:dyDescent="0.25">
      <c r="B5" t="str">
        <f>STN_1</f>
        <v>BN</v>
      </c>
      <c r="C5" s="438">
        <f>SUMIFS(Direct_Capex_Composition!BJ$7:BJ$26,Direct_Capex_Composition!$B$7:$B$26,$B5)</f>
        <v>1492.5879047593667</v>
      </c>
      <c r="D5" s="438">
        <f>SUMIFS(Direct_Capex_Composition!BK$7:BK$26,Direct_Capex_Composition!$B$7:$B$26,$B5)</f>
        <v>454.20596464758398</v>
      </c>
      <c r="E5" s="438">
        <f>SUMIFS(Direct_Capex_Composition!BL$7:BL$26,Direct_Capex_Composition!$B$7:$B$26,$B5)</f>
        <v>1415.0442477876104</v>
      </c>
      <c r="F5" s="438">
        <f>SUMIFS(Direct_Capex_Composition!BM$7:BM$26,Direct_Capex_Composition!$B$7:$B$26,$B5)</f>
        <v>1761.8987647017075</v>
      </c>
      <c r="G5" s="438">
        <f>SUMIFS(Direct_Capex_Composition!BN$7:BN$26,Direct_Capex_Composition!$B$7:$B$26,$B5)</f>
        <v>64.922381979590824</v>
      </c>
      <c r="H5" s="689">
        <f t="shared" ref="H5:H10" si="0">SUM(C5:G5)</f>
        <v>5188.6592638758593</v>
      </c>
      <c r="I5" s="571"/>
      <c r="J5" s="438">
        <f t="shared" ref="J5:J10" si="1">Q5-C5</f>
        <v>2771.9489659816804</v>
      </c>
      <c r="K5" s="438">
        <f t="shared" ref="K5:K10" si="2">R5-D5</f>
        <v>599.02525772362526</v>
      </c>
      <c r="L5" s="438">
        <f t="shared" ref="L5:L10" si="3">S5-E5</f>
        <v>0</v>
      </c>
      <c r="M5" s="438">
        <f t="shared" ref="M5:M10" si="4">T5-F5</f>
        <v>2764.0797134311188</v>
      </c>
      <c r="N5" s="438">
        <f t="shared" ref="N5:N10" si="5">U5-G5</f>
        <v>86.563175972787747</v>
      </c>
      <c r="O5" s="689">
        <f t="shared" ref="O5:O10" si="6">SUM(J5:N5)</f>
        <v>6221.6171131092124</v>
      </c>
      <c r="P5" s="14"/>
      <c r="Q5" s="6">
        <f>BN_Det!K61</f>
        <v>4264.5368707410471</v>
      </c>
      <c r="R5" s="6">
        <f>BN_Det!L61</f>
        <v>1053.2312223712092</v>
      </c>
      <c r="S5" s="6">
        <f>BN_Det!M61</f>
        <v>1415.0442477876102</v>
      </c>
      <c r="T5" s="6">
        <f>BN_Det!N61</f>
        <v>4525.9784781328262</v>
      </c>
      <c r="U5" s="6">
        <f>BN_Det!O61</f>
        <v>151.48555795237857</v>
      </c>
      <c r="V5" s="129">
        <f t="shared" ref="V5:V10" si="7">SUM(Q5:U5)</f>
        <v>11410.276376985072</v>
      </c>
      <c r="W5" s="11">
        <f>V5-BN_Det!P61</f>
        <v>0</v>
      </c>
      <c r="X5" s="19">
        <f t="shared" ref="X5:X10" si="8">V5-O5-H5</f>
        <v>0</v>
      </c>
    </row>
    <row r="6" spans="2:26" x14ac:dyDescent="0.25">
      <c r="B6" t="str">
        <f>STN_2</f>
        <v>KLO</v>
      </c>
      <c r="C6" s="438">
        <f>SUMIFS(Direct_Capex_Composition!BJ$7:BJ$26,Direct_Capex_Composition!$B$7:$B$26,$B6)</f>
        <v>0</v>
      </c>
      <c r="D6" s="438">
        <f>SUMIFS(Direct_Capex_Composition!BK$7:BK$26,Direct_Capex_Composition!$B$7:$B$26,$B6)</f>
        <v>146.55785266755876</v>
      </c>
      <c r="E6" s="438">
        <f>SUMIFS(Direct_Capex_Composition!BL$7:BL$26,Direct_Capex_Composition!$B$7:$B$26,$B6)</f>
        <v>1132.0353982300885</v>
      </c>
      <c r="F6" s="438">
        <f>SUMIFS(Direct_Capex_Composition!BM$7:BM$26,Direct_Capex_Composition!$B$7:$B$26,$B6)</f>
        <v>1415.0442477876099</v>
      </c>
      <c r="G6" s="438">
        <f>SUMIFS(Direct_Capex_Composition!BN$7:BN$26,Direct_Capex_Composition!$B$7:$B$26,$B6)</f>
        <v>0</v>
      </c>
      <c r="H6" s="689">
        <f t="shared" si="0"/>
        <v>2693.637498685257</v>
      </c>
      <c r="I6" s="571"/>
      <c r="J6" s="438">
        <f t="shared" si="1"/>
        <v>5504.1825261304766</v>
      </c>
      <c r="K6" s="438">
        <f t="shared" si="2"/>
        <v>970.07340575193643</v>
      </c>
      <c r="L6" s="438">
        <f t="shared" si="3"/>
        <v>0</v>
      </c>
      <c r="M6" s="438">
        <f t="shared" si="4"/>
        <v>6210.4612541928254</v>
      </c>
      <c r="N6" s="438">
        <f t="shared" si="5"/>
        <v>112.21713671344054</v>
      </c>
      <c r="O6" s="689">
        <f t="shared" si="6"/>
        <v>12796.934322788678</v>
      </c>
      <c r="P6" s="14"/>
      <c r="Q6" s="6">
        <f>KLO_Det!K62</f>
        <v>5504.1825261304766</v>
      </c>
      <c r="R6" s="6">
        <f>KLO_Det!L62</f>
        <v>1116.6312584194952</v>
      </c>
      <c r="S6" s="6">
        <f>KLO_Det!M62</f>
        <v>1132.0353982300883</v>
      </c>
      <c r="T6" s="6">
        <f>KLO_Det!N62</f>
        <v>7625.5055019804349</v>
      </c>
      <c r="U6" s="6">
        <f>KLO_Det!O62</f>
        <v>112.21713671344054</v>
      </c>
      <c r="V6" s="129">
        <f t="shared" si="7"/>
        <v>15490.571821473935</v>
      </c>
      <c r="W6" s="11">
        <f>V6-KLO_Det!P62</f>
        <v>0</v>
      </c>
      <c r="X6" s="19">
        <f t="shared" si="8"/>
        <v>0</v>
      </c>
    </row>
    <row r="7" spans="2:26" x14ac:dyDescent="0.25">
      <c r="B7" t="str">
        <f>STN_3</f>
        <v>LLG</v>
      </c>
      <c r="C7" s="438">
        <f>SUMIFS(Direct_Capex_Composition!BJ$7:BJ$26,Direct_Capex_Composition!$B$7:$B$26,$B7)</f>
        <v>504.10312397653928</v>
      </c>
      <c r="D7" s="438">
        <f>SUMIFS(Direct_Capex_Composition!BK$7:BK$26,Direct_Capex_Composition!$B$7:$B$26,$B7)</f>
        <v>217.56089430491096</v>
      </c>
      <c r="E7" s="438">
        <f>SUMIFS(Direct_Capex_Composition!BL$7:BL$26,Direct_Capex_Composition!$B$7:$B$26,$B7)</f>
        <v>1132.0353982300883</v>
      </c>
      <c r="F7" s="438">
        <f>SUMIFS(Direct_Capex_Composition!BM$7:BM$26,Direct_Capex_Composition!$B$7:$B$26,$B7)</f>
        <v>218.83079502051811</v>
      </c>
      <c r="G7" s="438">
        <f>SUMIFS(Direct_Capex_Composition!BN$7:BN$26,Direct_Capex_Composition!$B$7:$B$26,$B7)</f>
        <v>15.044009675995669</v>
      </c>
      <c r="H7" s="689">
        <f t="shared" si="0"/>
        <v>2087.5742212080522</v>
      </c>
      <c r="I7" s="571"/>
      <c r="J7" s="438">
        <f t="shared" si="1"/>
        <v>2856.58436920039</v>
      </c>
      <c r="K7" s="438">
        <f t="shared" si="2"/>
        <v>777.00319394611051</v>
      </c>
      <c r="L7" s="438">
        <f t="shared" si="3"/>
        <v>0</v>
      </c>
      <c r="M7" s="438">
        <f t="shared" si="4"/>
        <v>2698.9131385863898</v>
      </c>
      <c r="N7" s="438">
        <f t="shared" si="5"/>
        <v>105.3080677319697</v>
      </c>
      <c r="O7" s="689">
        <f t="shared" si="6"/>
        <v>6437.8087694648593</v>
      </c>
      <c r="P7" s="14"/>
      <c r="Q7" s="6">
        <f>LLG_Det!K60</f>
        <v>3360.6874931769294</v>
      </c>
      <c r="R7" s="6">
        <f>LLG_Det!L60</f>
        <v>994.56408825102142</v>
      </c>
      <c r="S7" s="6">
        <f>LLG_Det!M60</f>
        <v>1132.0353982300883</v>
      </c>
      <c r="T7" s="6">
        <f>LLG_Det!N60</f>
        <v>2917.7439336069078</v>
      </c>
      <c r="U7" s="6">
        <f>LLG_Det!O60</f>
        <v>120.35207740796537</v>
      </c>
      <c r="V7" s="129">
        <f t="shared" si="7"/>
        <v>8525.3829906729134</v>
      </c>
      <c r="W7" s="11">
        <f>V7-LLG_Det!P60</f>
        <v>0</v>
      </c>
      <c r="X7" s="19">
        <f t="shared" si="8"/>
        <v>0</v>
      </c>
    </row>
    <row r="8" spans="2:26" x14ac:dyDescent="0.25">
      <c r="B8" t="str">
        <f>STN_4</f>
        <v>MSD</v>
      </c>
      <c r="C8" s="438">
        <f>SUMIFS(Direct_Capex_Composition!BJ$7:BJ$26,Direct_Capex_Composition!$B$7:$B$26,$B8)</f>
        <v>3067.5245230349246</v>
      </c>
      <c r="D8" s="438">
        <f>SUMIFS(Direct_Capex_Composition!BK$7:BK$26,Direct_Capex_Composition!$B$7:$B$26,$B8)</f>
        <v>1026.1515174187255</v>
      </c>
      <c r="E8" s="438">
        <f>SUMIFS(Direct_Capex_Composition!BL$7:BL$26,Direct_Capex_Composition!$B$7:$B$26,$B8)</f>
        <v>1132.0353982300883</v>
      </c>
      <c r="F8" s="438">
        <f>SUMIFS(Direct_Capex_Composition!BM$7:BM$26,Direct_Capex_Composition!$B$7:$B$26,$B8)</f>
        <v>2672.8879815215705</v>
      </c>
      <c r="G8" s="438">
        <f>SUMIFS(Direct_Capex_Composition!BN$7:BN$26,Direct_Capex_Composition!$B$7:$B$26,$B8)</f>
        <v>158.59833649831319</v>
      </c>
      <c r="H8" s="689">
        <f t="shared" si="0"/>
        <v>8057.197756703622</v>
      </c>
      <c r="I8" s="571"/>
      <c r="J8" s="438">
        <f t="shared" si="1"/>
        <v>0</v>
      </c>
      <c r="K8" s="438">
        <f t="shared" si="2"/>
        <v>0</v>
      </c>
      <c r="L8" s="438">
        <f t="shared" si="3"/>
        <v>0</v>
      </c>
      <c r="M8" s="438">
        <f t="shared" si="4"/>
        <v>0</v>
      </c>
      <c r="N8" s="438">
        <f t="shared" si="5"/>
        <v>0</v>
      </c>
      <c r="O8" s="689">
        <f t="shared" si="6"/>
        <v>0</v>
      </c>
      <c r="P8" s="14"/>
      <c r="Q8" s="6">
        <f>MSD_Det!K59</f>
        <v>3067.5245230349246</v>
      </c>
      <c r="R8" s="6">
        <f>MSD_Det!L59</f>
        <v>1026.1515174187252</v>
      </c>
      <c r="S8" s="6">
        <f>MSD_Det!M59</f>
        <v>1132.0353982300883</v>
      </c>
      <c r="T8" s="6">
        <f>MSD_Det!N59</f>
        <v>2672.8879815215705</v>
      </c>
      <c r="U8" s="6">
        <f>MSD_Det!O59</f>
        <v>158.59833649831319</v>
      </c>
      <c r="V8" s="129">
        <f t="shared" si="7"/>
        <v>8057.197756703622</v>
      </c>
      <c r="W8" s="11">
        <f>V8-MSD_Det!P59</f>
        <v>0</v>
      </c>
      <c r="X8" s="19">
        <f t="shared" si="8"/>
        <v>0</v>
      </c>
    </row>
    <row r="9" spans="2:26" x14ac:dyDescent="0.25">
      <c r="B9" t="str">
        <f>STN_5</f>
        <v>SLE</v>
      </c>
      <c r="C9" s="438">
        <f>SUMIFS(Direct_Capex_Composition!BJ$7:BJ$26,Direct_Capex_Composition!$B$7:$B$26,$B9)</f>
        <v>1170.4737812679473</v>
      </c>
      <c r="D9" s="438">
        <f>SUMIFS(Direct_Capex_Composition!BK$7:BK$26,Direct_Capex_Composition!$B$7:$B$26,$B9)</f>
        <v>472.4179419192352</v>
      </c>
      <c r="E9" s="438">
        <f>SUMIFS(Direct_Capex_Composition!BL$7:BL$26,Direct_Capex_Composition!$B$7:$B$26,$B9)</f>
        <v>1037.6991150442477</v>
      </c>
      <c r="F9" s="438">
        <f>SUMIFS(Direct_Capex_Composition!BM$7:BM$26,Direct_Capex_Composition!$B$7:$B$26,$B9)</f>
        <v>1143.0858039387213</v>
      </c>
      <c r="G9" s="438">
        <f>SUMIFS(Direct_Capex_Composition!BN$7:BN$26,Direct_Capex_Composition!$B$7:$B$26,$B9)</f>
        <v>55.604922055444177</v>
      </c>
      <c r="H9" s="689">
        <f t="shared" si="0"/>
        <v>3879.2815642255955</v>
      </c>
      <c r="I9" s="571"/>
      <c r="J9" s="438">
        <f t="shared" si="1"/>
        <v>3085.7945142518624</v>
      </c>
      <c r="K9" s="438">
        <f t="shared" si="2"/>
        <v>522.14614633178621</v>
      </c>
      <c r="L9" s="438">
        <f t="shared" si="3"/>
        <v>0</v>
      </c>
      <c r="M9" s="438">
        <f t="shared" si="4"/>
        <v>1546.5278523876823</v>
      </c>
      <c r="N9" s="438">
        <f t="shared" si="5"/>
        <v>74.139896073925598</v>
      </c>
      <c r="O9" s="689">
        <f t="shared" si="6"/>
        <v>5228.6084090452559</v>
      </c>
      <c r="P9" s="14"/>
      <c r="Q9" s="6">
        <f>SLE_Det!K61</f>
        <v>4256.2682955198097</v>
      </c>
      <c r="R9" s="6">
        <f>SLE_Det!L61</f>
        <v>994.56408825102142</v>
      </c>
      <c r="S9" s="6">
        <f>SLE_Det!M61</f>
        <v>1037.6991150442475</v>
      </c>
      <c r="T9" s="6">
        <f>SLE_Det!N61</f>
        <v>2689.6136563264035</v>
      </c>
      <c r="U9" s="6">
        <f>SLE_Det!O61</f>
        <v>129.74481812936978</v>
      </c>
      <c r="V9" s="129">
        <f t="shared" si="7"/>
        <v>9107.8899732708524</v>
      </c>
      <c r="W9" s="11">
        <f>V9-SLE_Det!P61</f>
        <v>0</v>
      </c>
      <c r="X9" s="19">
        <f t="shared" si="8"/>
        <v>0</v>
      </c>
    </row>
    <row r="10" spans="2:26" x14ac:dyDescent="0.25">
      <c r="B10" t="str">
        <f>STN_9</f>
        <v>KLO2</v>
      </c>
      <c r="C10" s="438">
        <f>SUMIFS(Direct_Capex_Composition!BJ$7:BJ$26,Direct_Capex_Composition!$B$7:$B$26,$B10)</f>
        <v>3018.1628290093654</v>
      </c>
      <c r="D10" s="438">
        <f>SUMIFS(Direct_Capex_Composition!BK$7:BK$26,Direct_Capex_Composition!$B$7:$B$26,$B10)</f>
        <v>210.89619963438292</v>
      </c>
      <c r="E10" s="438">
        <f>SUMIFS(Direct_Capex_Composition!BL$7:BL$26,Direct_Capex_Composition!$B$7:$B$26,$B10)</f>
        <v>1132.0353982300883</v>
      </c>
      <c r="F10" s="438">
        <f>SUMIFS(Direct_Capex_Composition!BM$7:BM$26,Direct_Capex_Composition!$B$7:$B$26,$B10)</f>
        <v>1886.7256637168136</v>
      </c>
      <c r="G10" s="438">
        <f>SUMIFS(Direct_Capex_Composition!BN$7:BN$26,Direct_Capex_Composition!$B$7:$B$26,$B10)</f>
        <v>0</v>
      </c>
      <c r="H10" s="689">
        <f t="shared" si="0"/>
        <v>6247.8200905906506</v>
      </c>
      <c r="I10" s="571"/>
      <c r="J10" s="438">
        <f t="shared" si="1"/>
        <v>1293.4983552897288</v>
      </c>
      <c r="K10" s="438">
        <f t="shared" si="2"/>
        <v>1898.0657967094462</v>
      </c>
      <c r="L10" s="438">
        <f t="shared" si="3"/>
        <v>0</v>
      </c>
      <c r="M10" s="438">
        <f t="shared" si="4"/>
        <v>5711.7114805598849</v>
      </c>
      <c r="N10" s="438">
        <f t="shared" si="5"/>
        <v>1613.7404554960463</v>
      </c>
      <c r="O10" s="689">
        <f t="shared" si="6"/>
        <v>10517.016088055107</v>
      </c>
      <c r="P10" s="14"/>
      <c r="Q10" s="6">
        <f>New_KLO2!F8</f>
        <v>4311.6611842990942</v>
      </c>
      <c r="R10" s="6">
        <f>New_KLO2!G8</f>
        <v>2108.961996343829</v>
      </c>
      <c r="S10" s="6">
        <f>New_KLO2!H8</f>
        <v>1132.0353982300883</v>
      </c>
      <c r="T10" s="6">
        <f>New_KLO2!I8</f>
        <v>7598.4371442766987</v>
      </c>
      <c r="U10" s="6">
        <f>New_KLO2!J8</f>
        <v>1613.7404554960463</v>
      </c>
      <c r="V10" s="129">
        <f t="shared" si="7"/>
        <v>16764.836178645757</v>
      </c>
      <c r="W10" s="11">
        <f>V10-New_KLO2!K8</f>
        <v>0</v>
      </c>
      <c r="X10" s="19">
        <f t="shared" si="8"/>
        <v>0</v>
      </c>
    </row>
    <row r="11" spans="2:26" x14ac:dyDescent="0.25">
      <c r="B11" t="s">
        <v>6</v>
      </c>
      <c r="C11" s="602">
        <f t="shared" ref="C11:H11" si="9">SUM(C5:C10)</f>
        <v>9252.8521620481424</v>
      </c>
      <c r="D11" s="602">
        <f t="shared" si="9"/>
        <v>2527.7903705923973</v>
      </c>
      <c r="E11" s="602">
        <f t="shared" si="9"/>
        <v>6980.8849557522126</v>
      </c>
      <c r="F11" s="602">
        <f t="shared" si="9"/>
        <v>9098.4732566869407</v>
      </c>
      <c r="G11" s="602">
        <f t="shared" si="9"/>
        <v>294.1696502093439</v>
      </c>
      <c r="H11" s="690">
        <f t="shared" si="9"/>
        <v>28154.170395289038</v>
      </c>
      <c r="I11" s="571"/>
      <c r="J11" s="602">
        <f t="shared" ref="J11:O11" si="10">SUM(J5:J10)</f>
        <v>15512.008730854137</v>
      </c>
      <c r="K11" s="602">
        <f t="shared" si="10"/>
        <v>4766.3138004629054</v>
      </c>
      <c r="L11" s="602">
        <f t="shared" si="10"/>
        <v>0</v>
      </c>
      <c r="M11" s="602">
        <f t="shared" si="10"/>
        <v>18931.693439157898</v>
      </c>
      <c r="N11" s="602">
        <f t="shared" si="10"/>
        <v>1991.9687319881698</v>
      </c>
      <c r="O11" s="690">
        <f t="shared" si="10"/>
        <v>41201.984702463116</v>
      </c>
      <c r="P11" s="14"/>
      <c r="Q11" s="21">
        <f t="shared" ref="Q11:V11" si="11">SUM(Q5:Q10)</f>
        <v>24764.860892902281</v>
      </c>
      <c r="R11" s="21">
        <f t="shared" si="11"/>
        <v>7294.1041710553018</v>
      </c>
      <c r="S11" s="21">
        <f t="shared" si="11"/>
        <v>6980.8849557522108</v>
      </c>
      <c r="T11" s="21">
        <f t="shared" si="11"/>
        <v>28030.16669584484</v>
      </c>
      <c r="U11" s="21">
        <f t="shared" si="11"/>
        <v>2286.1383821975137</v>
      </c>
      <c r="V11" s="21">
        <f t="shared" si="11"/>
        <v>69356.155097752155</v>
      </c>
      <c r="W11" s="390"/>
    </row>
    <row r="12" spans="2:26" x14ac:dyDescent="0.25">
      <c r="B12" s="53"/>
      <c r="C12" s="603"/>
      <c r="D12" s="603"/>
      <c r="E12" s="603"/>
      <c r="F12" s="603"/>
      <c r="G12" s="603"/>
      <c r="H12" s="691"/>
      <c r="I12" s="603"/>
      <c r="J12" s="471"/>
      <c r="K12" s="471"/>
      <c r="L12" s="471"/>
      <c r="M12" s="471"/>
      <c r="N12" s="471"/>
      <c r="O12" s="692"/>
      <c r="Q12" s="365"/>
      <c r="R12" s="365"/>
      <c r="S12" s="365"/>
      <c r="T12" s="365"/>
      <c r="U12" s="365"/>
      <c r="V12" s="365"/>
    </row>
    <row r="13" spans="2:26" x14ac:dyDescent="0.25">
      <c r="C13" s="48"/>
      <c r="D13" s="471"/>
      <c r="E13" s="471"/>
      <c r="F13" s="471"/>
      <c r="G13" s="471"/>
      <c r="H13" s="692"/>
      <c r="I13" s="471"/>
      <c r="J13" s="604"/>
      <c r="K13" s="471"/>
      <c r="L13" s="471"/>
      <c r="M13" s="471"/>
      <c r="N13" s="471"/>
      <c r="O13" s="692"/>
      <c r="Q13" s="202"/>
      <c r="R13" s="202"/>
      <c r="S13" s="202"/>
      <c r="T13" s="202"/>
      <c r="U13" s="202"/>
      <c r="V13" s="202"/>
    </row>
    <row r="14" spans="2:26" x14ac:dyDescent="0.25">
      <c r="B14" s="25" t="s">
        <v>594</v>
      </c>
      <c r="C14" s="777" t="s">
        <v>567</v>
      </c>
      <c r="D14" s="777"/>
      <c r="E14" s="777"/>
      <c r="F14" s="777"/>
      <c r="G14" s="777"/>
      <c r="H14" s="777"/>
      <c r="I14" s="124"/>
      <c r="J14" s="777" t="s">
        <v>568</v>
      </c>
      <c r="K14" s="777"/>
      <c r="L14" s="777"/>
      <c r="M14" s="777"/>
      <c r="N14" s="777"/>
      <c r="O14" s="777"/>
      <c r="Q14" s="778" t="s">
        <v>119</v>
      </c>
      <c r="R14" s="778"/>
      <c r="S14" s="778"/>
      <c r="T14" s="778"/>
      <c r="U14" s="778"/>
      <c r="V14" s="778"/>
    </row>
    <row r="15" spans="2:26" ht="30" x14ac:dyDescent="0.25">
      <c r="C15" s="535" t="s">
        <v>151</v>
      </c>
      <c r="D15" s="535" t="s">
        <v>63</v>
      </c>
      <c r="E15" s="601" t="s">
        <v>152</v>
      </c>
      <c r="F15" s="601" t="s">
        <v>153</v>
      </c>
      <c r="G15" s="535" t="s">
        <v>77</v>
      </c>
      <c r="H15" s="688" t="s">
        <v>154</v>
      </c>
      <c r="I15" s="471"/>
      <c r="J15" s="535" t="s">
        <v>151</v>
      </c>
      <c r="K15" s="535" t="s">
        <v>63</v>
      </c>
      <c r="L15" s="601" t="s">
        <v>152</v>
      </c>
      <c r="M15" s="601" t="s">
        <v>153</v>
      </c>
      <c r="N15" s="535" t="s">
        <v>77</v>
      </c>
      <c r="O15" s="688" t="s">
        <v>154</v>
      </c>
      <c r="Q15" s="163" t="s">
        <v>151</v>
      </c>
      <c r="R15" s="163" t="s">
        <v>63</v>
      </c>
      <c r="S15" s="13" t="s">
        <v>152</v>
      </c>
      <c r="T15" s="13" t="s">
        <v>153</v>
      </c>
      <c r="U15" s="163" t="s">
        <v>77</v>
      </c>
      <c r="V15" s="13" t="s">
        <v>154</v>
      </c>
      <c r="W15" s="13" t="s">
        <v>72</v>
      </c>
    </row>
    <row r="16" spans="2:26" x14ac:dyDescent="0.25">
      <c r="B16" t="str">
        <f>STN_1</f>
        <v>BN</v>
      </c>
      <c r="C16" s="581">
        <f>SUMIFS(Direct_Capex_Composition!BJ$29:BJ$40,Direct_Capex_Composition!$B$29:$B$40,$B16)</f>
        <v>1013.5891613196007</v>
      </c>
      <c r="D16" s="581">
        <f>SUMIFS(Direct_Capex_Composition!BK$29:BK$40,Direct_Capex_Composition!$B$29:$B$40,$B16)</f>
        <v>129.84572682003875</v>
      </c>
      <c r="E16" s="581">
        <f>SUMIFS(Direct_Capex_Composition!BL$29:BL$40,Direct_Capex_Composition!$B$29:$B$40,$B16)</f>
        <v>168.69832364219869</v>
      </c>
      <c r="F16" s="581">
        <f>SUMIFS(Direct_Capex_Composition!BM$29:BM$40,Direct_Capex_Composition!$B$29:$B$40,$B16)</f>
        <v>222.61165381549557</v>
      </c>
      <c r="G16" s="581">
        <f>SUMIFS(Direct_Capex_Composition!BN$29:BN$40,Direct_Capex_Composition!$B$29:$B$40,$B16)</f>
        <v>16.767953423688482</v>
      </c>
      <c r="H16" s="689">
        <f t="shared" ref="H16:H21" si="12">SUM(C16:G16)</f>
        <v>1551.5128190210221</v>
      </c>
      <c r="I16" s="571"/>
      <c r="J16" s="438">
        <f t="shared" ref="J16:J21" si="13">Q16-C16</f>
        <v>0</v>
      </c>
      <c r="K16" s="438">
        <f t="shared" ref="K16:K21" si="14">R16-D16</f>
        <v>194.76859023005812</v>
      </c>
      <c r="L16" s="438">
        <f t="shared" ref="L16:L21" si="15">S16-E16</f>
        <v>0</v>
      </c>
      <c r="M16" s="438">
        <f t="shared" ref="M16:M21" si="16">T16-F16</f>
        <v>2003.5048843394602</v>
      </c>
      <c r="N16" s="438">
        <f t="shared" ref="N16:N21" si="17">U16-G16</f>
        <v>150.91158081319634</v>
      </c>
      <c r="O16" s="689">
        <f t="shared" ref="O16:O21" si="18">SUM(J16:N16)</f>
        <v>2349.1850553827148</v>
      </c>
      <c r="P16" s="14"/>
      <c r="Q16" s="6">
        <f>BN_Det!K76</f>
        <v>1013.5891613196007</v>
      </c>
      <c r="R16" s="6">
        <f>BN_Det!L76</f>
        <v>324.61431705009687</v>
      </c>
      <c r="S16" s="6">
        <f>BN_Det!M76</f>
        <v>168.69832364219869</v>
      </c>
      <c r="T16" s="6">
        <f>BN_Det!N76</f>
        <v>2226.1165381549558</v>
      </c>
      <c r="U16" s="6">
        <f>BN_Det!O76</f>
        <v>167.67953423688482</v>
      </c>
      <c r="V16" s="6">
        <f t="shared" ref="V16:V21" si="19">SUM(Q16:U16)</f>
        <v>3900.6978744037369</v>
      </c>
      <c r="W16" s="11">
        <f>V16-BN_Det!P76</f>
        <v>0</v>
      </c>
    </row>
    <row r="17" spans="2:23" x14ac:dyDescent="0.25">
      <c r="B17" t="str">
        <f>STN_2</f>
        <v>KLO</v>
      </c>
      <c r="C17" s="581">
        <f>SUMIFS(Direct_Capex_Composition!BJ$29:BJ$40,Direct_Capex_Composition!$B$29:$B$40,$B17)</f>
        <v>362.12506083556286</v>
      </c>
      <c r="D17" s="581">
        <f>SUMIFS(Direct_Capex_Composition!BK$29:BK$40,Direct_Capex_Composition!$B$29:$B$40,$B17)</f>
        <v>56.847165555410221</v>
      </c>
      <c r="E17" s="581">
        <f>SUMIFS(Direct_Capex_Composition!BL$29:BL$40,Direct_Capex_Composition!$B$29:$B$40,$B17)</f>
        <v>98.136463072131306</v>
      </c>
      <c r="F17" s="581">
        <f>SUMIFS(Direct_Capex_Composition!BM$29:BM$40,Direct_Capex_Composition!$B$29:$B$40,$B17)</f>
        <v>0</v>
      </c>
      <c r="G17" s="581">
        <f>SUMIFS(Direct_Capex_Composition!BN$29:BN$40,Direct_Capex_Composition!$B$29:$B$40,$B17)</f>
        <v>0</v>
      </c>
      <c r="H17" s="689">
        <f t="shared" si="12"/>
        <v>517.10868946310438</v>
      </c>
      <c r="I17" s="571"/>
      <c r="J17" s="438">
        <f t="shared" si="13"/>
        <v>0</v>
      </c>
      <c r="K17" s="438">
        <f t="shared" si="14"/>
        <v>85.270748333115336</v>
      </c>
      <c r="L17" s="438">
        <f t="shared" si="15"/>
        <v>0</v>
      </c>
      <c r="M17" s="438">
        <f t="shared" si="16"/>
        <v>774.10907042712165</v>
      </c>
      <c r="N17" s="438">
        <f t="shared" si="17"/>
        <v>57.451511300123101</v>
      </c>
      <c r="O17" s="689">
        <f t="shared" si="18"/>
        <v>916.83133006036007</v>
      </c>
      <c r="P17" s="14"/>
      <c r="Q17" s="6">
        <f>KLO_Det!K77</f>
        <v>362.12506083556286</v>
      </c>
      <c r="R17" s="6">
        <f>KLO_Det!L77</f>
        <v>142.11791388852555</v>
      </c>
      <c r="S17" s="6">
        <f>KLO_Det!M77</f>
        <v>98.136463072131306</v>
      </c>
      <c r="T17" s="6">
        <f>KLO_Det!N77</f>
        <v>774.10907042712165</v>
      </c>
      <c r="U17" s="6">
        <f>KLO_Det!O77</f>
        <v>57.451511300123101</v>
      </c>
      <c r="V17" s="6">
        <f t="shared" si="19"/>
        <v>1433.9400195234643</v>
      </c>
      <c r="W17" s="11">
        <f>V17-KLO_Det!P77</f>
        <v>0</v>
      </c>
    </row>
    <row r="18" spans="2:23" x14ac:dyDescent="0.25">
      <c r="B18" t="str">
        <f>STN_3</f>
        <v>LLG</v>
      </c>
      <c r="C18" s="581">
        <f>SUMIFS(Direct_Capex_Composition!BJ$29:BJ$40,Direct_Capex_Composition!$B$29:$B$40,$B18)</f>
        <v>473.99527896274947</v>
      </c>
      <c r="D18" s="581">
        <f>SUMIFS(Direct_Capex_Composition!BK$29:BK$40,Direct_Capex_Composition!$B$29:$B$40,$B18)</f>
        <v>78.112073065722441</v>
      </c>
      <c r="E18" s="581">
        <f>SUMIFS(Direct_Capex_Composition!BL$29:BL$40,Direct_Capex_Composition!$B$29:$B$40,$B18)</f>
        <v>142.85904431441128</v>
      </c>
      <c r="F18" s="581">
        <f>SUMIFS(Direct_Capex_Composition!BM$29:BM$40,Direct_Capex_Composition!$B$29:$B$40,$B18)</f>
        <v>109.80953989031764</v>
      </c>
      <c r="G18" s="581">
        <f>SUMIFS(Direct_Capex_Composition!BN$29:BN$40,Direct_Capex_Composition!$B$29:$B$40,$B18)</f>
        <v>5.3621410546781565</v>
      </c>
      <c r="H18" s="689">
        <f t="shared" si="12"/>
        <v>810.13807728787901</v>
      </c>
      <c r="I18" s="571"/>
      <c r="J18" s="438">
        <f t="shared" si="13"/>
        <v>0</v>
      </c>
      <c r="K18" s="438">
        <f t="shared" si="14"/>
        <v>117.16810959858368</v>
      </c>
      <c r="L18" s="438">
        <f t="shared" si="15"/>
        <v>0</v>
      </c>
      <c r="M18" s="438">
        <f t="shared" si="16"/>
        <v>988.28585901285874</v>
      </c>
      <c r="N18" s="438">
        <f t="shared" si="17"/>
        <v>48.259269492103407</v>
      </c>
      <c r="O18" s="689">
        <f t="shared" si="18"/>
        <v>1153.7132381035458</v>
      </c>
      <c r="P18" s="14"/>
      <c r="Q18" s="6">
        <f>LLG_Det!K75</f>
        <v>473.99527896274947</v>
      </c>
      <c r="R18" s="6">
        <f>LLG_Det!L75</f>
        <v>195.28018266430612</v>
      </c>
      <c r="S18" s="6">
        <f>LLG_Det!M75</f>
        <v>142.85904431441128</v>
      </c>
      <c r="T18" s="6">
        <f>LLG_Det!N75</f>
        <v>1098.0953989031764</v>
      </c>
      <c r="U18" s="6">
        <f>LLG_Det!O75</f>
        <v>53.621410546781561</v>
      </c>
      <c r="V18" s="6">
        <f t="shared" si="19"/>
        <v>1963.8513153914248</v>
      </c>
      <c r="W18" s="11">
        <f>V18-LLG_Det!P75</f>
        <v>0</v>
      </c>
    </row>
    <row r="19" spans="2:23" x14ac:dyDescent="0.25">
      <c r="B19" t="str">
        <f>STN_4</f>
        <v>MSD</v>
      </c>
      <c r="C19" s="581">
        <f>SUMIFS(Direct_Capex_Composition!BJ$29:BJ$40,Direct_Capex_Composition!$B$29:$B$40,$B19)</f>
        <v>469.94396850503603</v>
      </c>
      <c r="D19" s="581">
        <f>SUMIFS(Direct_Capex_Composition!BK$29:BK$40,Direct_Capex_Composition!$B$29:$B$40,$B19)</f>
        <v>159.00388129604397</v>
      </c>
      <c r="E19" s="581">
        <f>SUMIFS(Direct_Capex_Composition!BL$29:BL$40,Direct_Capex_Composition!$B$29:$B$40,$B19)</f>
        <v>93.940052825517029</v>
      </c>
      <c r="F19" s="581">
        <f>SUMIFS(Direct_Capex_Composition!BM$29:BM$40,Direct_Capex_Composition!$B$29:$B$40,$B19)</f>
        <v>1018.9090930578548</v>
      </c>
      <c r="G19" s="581">
        <f>SUMIFS(Direct_Capex_Composition!BN$29:BN$40,Direct_Capex_Composition!$B$29:$B$40,$B19)</f>
        <v>75.213490061362577</v>
      </c>
      <c r="H19" s="689">
        <f t="shared" si="12"/>
        <v>1817.0104857458143</v>
      </c>
      <c r="I19" s="571"/>
      <c r="J19" s="438">
        <f t="shared" si="13"/>
        <v>0</v>
      </c>
      <c r="K19" s="438">
        <f t="shared" si="14"/>
        <v>0</v>
      </c>
      <c r="L19" s="438">
        <f t="shared" si="15"/>
        <v>0</v>
      </c>
      <c r="M19" s="438">
        <f t="shared" si="16"/>
        <v>0</v>
      </c>
      <c r="N19" s="438">
        <f t="shared" si="17"/>
        <v>0</v>
      </c>
      <c r="O19" s="689">
        <f t="shared" si="18"/>
        <v>0</v>
      </c>
      <c r="P19" s="14"/>
      <c r="Q19" s="6">
        <f>MSD_Det!K74</f>
        <v>469.94396850503603</v>
      </c>
      <c r="R19" s="6">
        <f>MSD_Det!L74</f>
        <v>159.00388129604397</v>
      </c>
      <c r="S19" s="6">
        <f>MSD_Det!M74</f>
        <v>93.940052825517029</v>
      </c>
      <c r="T19" s="6">
        <f>MSD_Det!N74</f>
        <v>1018.9090930578546</v>
      </c>
      <c r="U19" s="6">
        <f>MSD_Det!O74</f>
        <v>75.213490061362577</v>
      </c>
      <c r="V19" s="6">
        <f t="shared" si="19"/>
        <v>1817.0104857458143</v>
      </c>
      <c r="W19" s="11">
        <f>V19-MSD_Det!P74</f>
        <v>0</v>
      </c>
    </row>
    <row r="20" spans="2:23" x14ac:dyDescent="0.25">
      <c r="B20" t="str">
        <f>STN_5</f>
        <v>SLE</v>
      </c>
      <c r="C20" s="581">
        <f>SUMIFS(Direct_Capex_Composition!BJ$29:BJ$40,Direct_Capex_Composition!$B$29:$B$40,$B20)</f>
        <v>624.86546816340183</v>
      </c>
      <c r="D20" s="581">
        <f>SUMIFS(Direct_Capex_Composition!BK$29:BK$40,Direct_Capex_Composition!$B$29:$B$40,$B20)</f>
        <v>92.883442307824382</v>
      </c>
      <c r="E20" s="581">
        <f>SUMIFS(Direct_Capex_Composition!BL$29:BL$40,Direct_Capex_Composition!$B$29:$B$40,$B20)</f>
        <v>151.85801582111392</v>
      </c>
      <c r="F20" s="581">
        <f>SUMIFS(Direct_Capex_Composition!BM$29:BM$40,Direct_Capex_Composition!$B$29:$B$40,$B20)</f>
        <v>146.30518092296685</v>
      </c>
      <c r="G20" s="581">
        <f>SUMIFS(Direct_Capex_Composition!BN$29:BN$40,Direct_Capex_Composition!$B$29:$B$40,$B20)</f>
        <v>10.202419533475336</v>
      </c>
      <c r="H20" s="689">
        <f t="shared" si="12"/>
        <v>1026.1145267487823</v>
      </c>
      <c r="I20" s="571"/>
      <c r="J20" s="438">
        <f t="shared" si="13"/>
        <v>0</v>
      </c>
      <c r="K20" s="438">
        <f t="shared" si="14"/>
        <v>139.32516346173651</v>
      </c>
      <c r="L20" s="438">
        <f t="shared" si="15"/>
        <v>0</v>
      </c>
      <c r="M20" s="438">
        <f t="shared" si="16"/>
        <v>1316.7466283067015</v>
      </c>
      <c r="N20" s="438">
        <f t="shared" si="17"/>
        <v>91.821775801278022</v>
      </c>
      <c r="O20" s="689">
        <f t="shared" si="18"/>
        <v>1547.8935675697162</v>
      </c>
      <c r="P20" s="14"/>
      <c r="Q20" s="6">
        <f>SLE_Det!K76</f>
        <v>624.86546816340183</v>
      </c>
      <c r="R20" s="6">
        <f>SLE_Det!L76</f>
        <v>232.2086057695609</v>
      </c>
      <c r="S20" s="6">
        <f>SLE_Det!M76</f>
        <v>151.85801582111392</v>
      </c>
      <c r="T20" s="6">
        <f>SLE_Det!N76</f>
        <v>1463.0518092296684</v>
      </c>
      <c r="U20" s="6">
        <f>SLE_Det!O76</f>
        <v>102.02419533475336</v>
      </c>
      <c r="V20" s="6">
        <f t="shared" si="19"/>
        <v>2574.0080943184985</v>
      </c>
      <c r="W20" s="11">
        <f>V20-SLE_Det!P76</f>
        <v>0</v>
      </c>
    </row>
    <row r="21" spans="2:23" x14ac:dyDescent="0.25">
      <c r="B21" t="str">
        <f>STN_9</f>
        <v>KLO2</v>
      </c>
      <c r="C21" s="581">
        <f>SUMIFS(Direct_Capex_Composition!BJ$29:BJ$40,Direct_Capex_Composition!$B$29:$B$40,$B21)</f>
        <v>0</v>
      </c>
      <c r="D21" s="581">
        <f>SUMIFS(Direct_Capex_Composition!BK$29:BK$40,Direct_Capex_Composition!$B$29:$B$40,$B21)</f>
        <v>0</v>
      </c>
      <c r="E21" s="581">
        <f>SUMIFS(Direct_Capex_Composition!BL$29:BL$40,Direct_Capex_Composition!$B$29:$B$40,$B21)</f>
        <v>0</v>
      </c>
      <c r="F21" s="581">
        <f>SUMIFS(Direct_Capex_Composition!BM$29:BM$40,Direct_Capex_Composition!$B$29:$B$40,$B21)</f>
        <v>0</v>
      </c>
      <c r="G21" s="581">
        <f>SUMIFS(Direct_Capex_Composition!BN$29:BN$40,Direct_Capex_Composition!$B$29:$B$40,$B21)</f>
        <v>0</v>
      </c>
      <c r="H21" s="689">
        <f t="shared" si="12"/>
        <v>0</v>
      </c>
      <c r="I21" s="571"/>
      <c r="J21" s="438">
        <f t="shared" si="13"/>
        <v>0</v>
      </c>
      <c r="K21" s="438">
        <f t="shared" si="14"/>
        <v>0</v>
      </c>
      <c r="L21" s="438">
        <f t="shared" si="15"/>
        <v>0</v>
      </c>
      <c r="M21" s="438">
        <f t="shared" si="16"/>
        <v>0</v>
      </c>
      <c r="N21" s="438">
        <f t="shared" si="17"/>
        <v>0</v>
      </c>
      <c r="O21" s="689">
        <f t="shared" si="18"/>
        <v>0</v>
      </c>
      <c r="P21" s="14"/>
      <c r="Q21" s="6"/>
      <c r="R21" s="6"/>
      <c r="S21" s="6"/>
      <c r="T21" s="6"/>
      <c r="U21" s="6"/>
      <c r="V21" s="6">
        <f t="shared" si="19"/>
        <v>0</v>
      </c>
      <c r="W21" s="11"/>
    </row>
    <row r="22" spans="2:23" x14ac:dyDescent="0.25">
      <c r="B22" t="s">
        <v>6</v>
      </c>
      <c r="C22" s="602">
        <f t="shared" ref="C22:H22" si="20">SUM(C16:C21)</f>
        <v>2944.5189377863508</v>
      </c>
      <c r="D22" s="602">
        <f t="shared" si="20"/>
        <v>516.69228904503973</v>
      </c>
      <c r="E22" s="602">
        <f t="shared" si="20"/>
        <v>655.49189967537222</v>
      </c>
      <c r="F22" s="602">
        <f t="shared" si="20"/>
        <v>1497.6354676866349</v>
      </c>
      <c r="G22" s="602">
        <f t="shared" si="20"/>
        <v>107.54600407320456</v>
      </c>
      <c r="H22" s="690">
        <f t="shared" si="20"/>
        <v>5721.8845982666026</v>
      </c>
      <c r="I22" s="571"/>
      <c r="J22" s="602">
        <f t="shared" ref="J22:O22" si="21">SUM(J16:J21)</f>
        <v>0</v>
      </c>
      <c r="K22" s="602">
        <f t="shared" si="21"/>
        <v>536.53261162349372</v>
      </c>
      <c r="L22" s="602">
        <f t="shared" si="21"/>
        <v>0</v>
      </c>
      <c r="M22" s="602">
        <f t="shared" si="21"/>
        <v>5082.6464420861421</v>
      </c>
      <c r="N22" s="602">
        <f t="shared" si="21"/>
        <v>348.44413740670086</v>
      </c>
      <c r="O22" s="690">
        <f t="shared" si="21"/>
        <v>5967.6231911163359</v>
      </c>
      <c r="P22" s="14"/>
      <c r="Q22" s="21">
        <f t="shared" ref="Q22:V22" si="22">SUM(Q16:Q21)</f>
        <v>2944.5189377863508</v>
      </c>
      <c r="R22" s="21">
        <f t="shared" si="22"/>
        <v>1053.2249006685333</v>
      </c>
      <c r="S22" s="21">
        <f t="shared" si="22"/>
        <v>655.49189967537222</v>
      </c>
      <c r="T22" s="21">
        <f t="shared" si="22"/>
        <v>6580.281909772777</v>
      </c>
      <c r="U22" s="21">
        <f t="shared" si="22"/>
        <v>455.99014147990545</v>
      </c>
      <c r="V22" s="21">
        <f t="shared" si="22"/>
        <v>11689.507789382938</v>
      </c>
    </row>
    <row r="23" spans="2:23" x14ac:dyDescent="0.25">
      <c r="B23" s="53"/>
      <c r="C23" s="603"/>
      <c r="D23" s="603"/>
      <c r="E23" s="603"/>
      <c r="F23" s="603"/>
      <c r="G23" s="603"/>
      <c r="H23" s="691"/>
      <c r="I23" s="603"/>
      <c r="J23" s="471"/>
      <c r="K23" s="471"/>
      <c r="L23" s="471"/>
      <c r="M23" s="471"/>
      <c r="N23" s="471"/>
      <c r="O23" s="692"/>
      <c r="Q23" s="390"/>
      <c r="R23" s="390"/>
      <c r="S23" s="390"/>
      <c r="T23" s="390"/>
      <c r="U23" s="390"/>
      <c r="V23" s="390"/>
      <c r="W23" s="46"/>
    </row>
    <row r="24" spans="2:23" x14ac:dyDescent="0.25">
      <c r="C24" s="471"/>
      <c r="D24" s="471"/>
      <c r="E24" s="471"/>
      <c r="F24" s="471"/>
      <c r="G24" s="471"/>
      <c r="H24" s="692"/>
      <c r="I24" s="471"/>
      <c r="J24" s="471"/>
      <c r="K24" s="471"/>
      <c r="L24" s="471"/>
      <c r="M24" s="471"/>
      <c r="N24" s="471"/>
      <c r="O24" s="692"/>
      <c r="Q24" s="202"/>
      <c r="R24" s="202"/>
      <c r="S24" s="202"/>
      <c r="T24" s="202"/>
      <c r="U24" s="202"/>
      <c r="V24" s="202"/>
      <c r="W24" s="202"/>
    </row>
    <row r="25" spans="2:23" x14ac:dyDescent="0.25">
      <c r="B25" s="25" t="s">
        <v>595</v>
      </c>
      <c r="C25" s="777" t="s">
        <v>567</v>
      </c>
      <c r="D25" s="777"/>
      <c r="E25" s="777"/>
      <c r="F25" s="777"/>
      <c r="G25" s="777"/>
      <c r="H25" s="777"/>
      <c r="I25" s="124"/>
      <c r="J25" s="777" t="s">
        <v>568</v>
      </c>
      <c r="K25" s="777"/>
      <c r="L25" s="777"/>
      <c r="M25" s="777"/>
      <c r="N25" s="777"/>
      <c r="O25" s="777"/>
      <c r="Q25" s="778" t="s">
        <v>119</v>
      </c>
      <c r="R25" s="778"/>
      <c r="S25" s="778"/>
      <c r="T25" s="778"/>
      <c r="U25" s="778"/>
      <c r="V25" s="778"/>
    </row>
    <row r="26" spans="2:23" ht="30" x14ac:dyDescent="0.25">
      <c r="C26" s="535" t="s">
        <v>151</v>
      </c>
      <c r="D26" s="535" t="s">
        <v>63</v>
      </c>
      <c r="E26" s="601" t="s">
        <v>152</v>
      </c>
      <c r="F26" s="601" t="s">
        <v>153</v>
      </c>
      <c r="G26" s="535" t="s">
        <v>77</v>
      </c>
      <c r="H26" s="688" t="s">
        <v>154</v>
      </c>
      <c r="I26" s="471"/>
      <c r="J26" s="535" t="s">
        <v>151</v>
      </c>
      <c r="K26" s="535" t="s">
        <v>63</v>
      </c>
      <c r="L26" s="601" t="s">
        <v>152</v>
      </c>
      <c r="M26" s="601" t="s">
        <v>153</v>
      </c>
      <c r="N26" s="535" t="s">
        <v>77</v>
      </c>
      <c r="O26" s="688" t="s">
        <v>154</v>
      </c>
      <c r="Q26" s="163" t="s">
        <v>151</v>
      </c>
      <c r="R26" s="163" t="s">
        <v>63</v>
      </c>
      <c r="S26" s="13" t="s">
        <v>152</v>
      </c>
      <c r="T26" s="13" t="s">
        <v>153</v>
      </c>
      <c r="U26" s="163" t="s">
        <v>77</v>
      </c>
      <c r="V26" s="13" t="s">
        <v>154</v>
      </c>
      <c r="W26" s="13" t="s">
        <v>72</v>
      </c>
    </row>
    <row r="27" spans="2:23" x14ac:dyDescent="0.25">
      <c r="B27" t="str">
        <f>STN_1</f>
        <v>BN</v>
      </c>
      <c r="C27" s="581">
        <f>SUMIFS(Direct_Capex_Composition!BJ$43:BJ$48,Direct_Capex_Composition!$B$43:$B$48,$B27)</f>
        <v>475.42113163808176</v>
      </c>
      <c r="D27" s="581">
        <f>SUMIFS(Direct_Capex_Composition!BK$43:BK$48,Direct_Capex_Composition!$B$43:$B$48,$B27)</f>
        <v>97.270164632616101</v>
      </c>
      <c r="E27" s="581">
        <f>SUMIFS(Direct_Capex_Composition!BL$43:BL$48,Direct_Capex_Composition!$B$43:$B$48,$B27)</f>
        <v>0</v>
      </c>
      <c r="F27" s="581">
        <f>SUMIFS(Direct_Capex_Composition!BM$43:BM$48,Direct_Capex_Composition!$B$43:$B$48,$B27)</f>
        <v>91.085013034057653</v>
      </c>
      <c r="G27" s="581">
        <f>SUMIFS(Direct_Capex_Composition!BN$43:BN$48,Direct_Capex_Composition!$B$43:$B$48,$B27)</f>
        <v>0</v>
      </c>
      <c r="H27" s="689">
        <f t="shared" ref="H27:H32" si="23">SUM(C27:G27)</f>
        <v>663.7763093047555</v>
      </c>
      <c r="I27" s="571"/>
      <c r="J27" s="438">
        <f t="shared" ref="J27:J32" si="24">Q27-C27</f>
        <v>0</v>
      </c>
      <c r="K27" s="438">
        <f t="shared" ref="K27:K32" si="25">R27-D27</f>
        <v>145.90524694892412</v>
      </c>
      <c r="L27" s="438">
        <f t="shared" ref="L27:L32" si="26">S27-E27</f>
        <v>0</v>
      </c>
      <c r="M27" s="438">
        <f t="shared" ref="M27:M32" si="27">T27-F27</f>
        <v>819.76511730651885</v>
      </c>
      <c r="N27" s="438">
        <f t="shared" ref="N27:N32" si="28">U27-G27</f>
        <v>0</v>
      </c>
      <c r="O27" s="689">
        <f t="shared" ref="O27:O32" si="29">SUM(J27:N27)</f>
        <v>965.67036425544302</v>
      </c>
      <c r="P27" s="191"/>
      <c r="Q27" s="6">
        <f>BN_Det!K78</f>
        <v>475.42113163808176</v>
      </c>
      <c r="R27" s="6">
        <f>BN_Det!L78</f>
        <v>243.17541158154023</v>
      </c>
      <c r="S27" s="6">
        <f>BN_Det!M78</f>
        <v>0</v>
      </c>
      <c r="T27" s="6">
        <f>BN_Det!N78</f>
        <v>910.85013034057647</v>
      </c>
      <c r="U27" s="6">
        <f>BN_Det!O78</f>
        <v>0</v>
      </c>
      <c r="V27" s="6">
        <f t="shared" ref="V27:V32" si="30">SUM(Q27:U27)</f>
        <v>1629.4466735601984</v>
      </c>
      <c r="W27" s="19">
        <f>V27-BN_Det!P78</f>
        <v>0</v>
      </c>
    </row>
    <row r="28" spans="2:23" x14ac:dyDescent="0.25">
      <c r="B28" t="str">
        <f>STN_2</f>
        <v>KLO</v>
      </c>
      <c r="C28" s="581">
        <f>SUMIFS(Direct_Capex_Composition!BJ$43:BJ$48,Direct_Capex_Composition!$B$43:$B$48,$B28)</f>
        <v>61.295476240702008</v>
      </c>
      <c r="D28" s="581">
        <f>SUMIFS(Direct_Capex_Composition!BK$43:BK$48,Direct_Capex_Composition!$B$43:$B$48,$B28)</f>
        <v>12.540925651799766</v>
      </c>
      <c r="E28" s="581">
        <f>SUMIFS(Direct_Capex_Composition!BL$43:BL$48,Direct_Capex_Composition!$B$43:$B$48,$B28)</f>
        <v>0</v>
      </c>
      <c r="F28" s="581">
        <f>SUMIFS(Direct_Capex_Composition!BM$43:BM$48,Direct_Capex_Composition!$B$43:$B$48,$B28)</f>
        <v>11.743481475205638</v>
      </c>
      <c r="G28" s="581">
        <f>SUMIFS(Direct_Capex_Composition!BN$43:BN$48,Direct_Capex_Composition!$B$43:$B$48,$B28)</f>
        <v>0</v>
      </c>
      <c r="H28" s="689">
        <f t="shared" si="23"/>
        <v>85.57988336770741</v>
      </c>
      <c r="I28" s="571"/>
      <c r="J28" s="438">
        <f t="shared" si="24"/>
        <v>0</v>
      </c>
      <c r="K28" s="438">
        <f t="shared" si="25"/>
        <v>18.811388477699644</v>
      </c>
      <c r="L28" s="438">
        <f t="shared" si="26"/>
        <v>0</v>
      </c>
      <c r="M28" s="438">
        <f t="shared" si="27"/>
        <v>105.69133327685073</v>
      </c>
      <c r="N28" s="438">
        <f t="shared" si="28"/>
        <v>0</v>
      </c>
      <c r="O28" s="689">
        <f t="shared" si="29"/>
        <v>124.50272175455038</v>
      </c>
      <c r="P28" s="191"/>
      <c r="Q28" s="6">
        <f>KLO_Det!K79</f>
        <v>61.295476240702008</v>
      </c>
      <c r="R28" s="6">
        <f>KLO_Det!L79</f>
        <v>31.352314129499412</v>
      </c>
      <c r="S28" s="6">
        <f>KLO_Det!M79</f>
        <v>0</v>
      </c>
      <c r="T28" s="6">
        <f>KLO_Det!N79</f>
        <v>117.43481475205637</v>
      </c>
      <c r="U28" s="6">
        <f>KLO_Det!O79</f>
        <v>0</v>
      </c>
      <c r="V28" s="6">
        <f t="shared" si="30"/>
        <v>210.0826051222578</v>
      </c>
      <c r="W28" s="19">
        <f>V28-KLO_Det!P79</f>
        <v>0</v>
      </c>
    </row>
    <row r="29" spans="2:23" x14ac:dyDescent="0.25">
      <c r="B29" t="str">
        <f>STN_3</f>
        <v>LLG</v>
      </c>
      <c r="C29" s="581">
        <f>SUMIFS(Direct_Capex_Composition!BJ$43:BJ$48,Direct_Capex_Composition!$B$43:$B$48,$B29)</f>
        <v>155.83078785571507</v>
      </c>
      <c r="D29" s="581">
        <f>SUMIFS(Direct_Capex_Composition!BK$43:BK$48,Direct_Capex_Composition!$B$43:$B$48,$B29)</f>
        <v>31.882651781441194</v>
      </c>
      <c r="E29" s="581">
        <f>SUMIFS(Direct_Capex_Composition!BL$43:BL$48,Direct_Capex_Composition!$B$43:$B$48,$B29)</f>
        <v>0</v>
      </c>
      <c r="F29" s="581">
        <f>SUMIFS(Direct_Capex_Composition!BM$43:BM$48,Direct_Capex_Composition!$B$43:$B$48,$B29)</f>
        <v>29.85531857626906</v>
      </c>
      <c r="G29" s="581">
        <f>SUMIFS(Direct_Capex_Composition!BN$43:BN$48,Direct_Capex_Composition!$B$43:$B$48,$B29)</f>
        <v>0</v>
      </c>
      <c r="H29" s="689">
        <f t="shared" si="23"/>
        <v>217.56875821342533</v>
      </c>
      <c r="I29" s="571"/>
      <c r="J29" s="438">
        <f t="shared" si="24"/>
        <v>0</v>
      </c>
      <c r="K29" s="438">
        <f t="shared" si="25"/>
        <v>47.823977672161789</v>
      </c>
      <c r="L29" s="438">
        <f t="shared" si="26"/>
        <v>0</v>
      </c>
      <c r="M29" s="438">
        <f t="shared" si="27"/>
        <v>268.69786718642155</v>
      </c>
      <c r="N29" s="438">
        <f t="shared" si="28"/>
        <v>0</v>
      </c>
      <c r="O29" s="689">
        <f t="shared" si="29"/>
        <v>316.52184485858334</v>
      </c>
      <c r="P29" s="191"/>
      <c r="Q29" s="6">
        <f>LLG_Det!K77</f>
        <v>155.83078785571507</v>
      </c>
      <c r="R29" s="6">
        <f>LLG_Det!L77</f>
        <v>79.706629453602986</v>
      </c>
      <c r="S29" s="6">
        <f>LLG_Det!M77</f>
        <v>0</v>
      </c>
      <c r="T29" s="6">
        <f>LLG_Det!N77</f>
        <v>298.55318576269059</v>
      </c>
      <c r="U29" s="6">
        <f>LLG_Det!O77</f>
        <v>0</v>
      </c>
      <c r="V29" s="6">
        <f t="shared" si="30"/>
        <v>534.09060307200866</v>
      </c>
      <c r="W29" s="19">
        <f>V29-LLG_Det!P77</f>
        <v>0</v>
      </c>
    </row>
    <row r="30" spans="2:23" x14ac:dyDescent="0.25">
      <c r="B30" t="str">
        <f>STN_4</f>
        <v>MSD</v>
      </c>
      <c r="C30" s="581">
        <f>SUMIFS(Direct_Capex_Composition!BJ$43:BJ$48,Direct_Capex_Composition!$B$43:$B$48,$B30)</f>
        <v>297.93870789634758</v>
      </c>
      <c r="D30" s="581">
        <f>SUMIFS(Direct_Capex_Composition!BK$43:BK$48,Direct_Capex_Composition!$B$43:$B$48,$B30)</f>
        <v>152.39408410209418</v>
      </c>
      <c r="E30" s="581">
        <f>SUMIFS(Direct_Capex_Composition!BL$43:BL$48,Direct_Capex_Composition!$B$43:$B$48,$B30)</f>
        <v>0</v>
      </c>
      <c r="F30" s="581">
        <f>SUMIFS(Direct_Capex_Composition!BM$43:BM$48,Direct_Capex_Composition!$B$43:$B$48,$B30)</f>
        <v>570.81499508835361</v>
      </c>
      <c r="G30" s="581">
        <f>SUMIFS(Direct_Capex_Composition!BN$43:BN$48,Direct_Capex_Composition!$B$43:$B$48,$B30)</f>
        <v>0</v>
      </c>
      <c r="H30" s="689">
        <f t="shared" si="23"/>
        <v>1021.1477870867953</v>
      </c>
      <c r="I30" s="571"/>
      <c r="J30" s="438">
        <f t="shared" si="24"/>
        <v>0</v>
      </c>
      <c r="K30" s="438">
        <f t="shared" si="25"/>
        <v>0</v>
      </c>
      <c r="L30" s="438">
        <f t="shared" si="26"/>
        <v>0</v>
      </c>
      <c r="M30" s="438">
        <f t="shared" si="27"/>
        <v>0</v>
      </c>
      <c r="N30" s="438">
        <f t="shared" si="28"/>
        <v>0</v>
      </c>
      <c r="O30" s="689">
        <f t="shared" si="29"/>
        <v>0</v>
      </c>
      <c r="P30" s="191"/>
      <c r="Q30" s="6">
        <f>MSD_Det!K76</f>
        <v>297.93870789634758</v>
      </c>
      <c r="R30" s="6">
        <f>MSD_Det!L76</f>
        <v>152.39408410209418</v>
      </c>
      <c r="S30" s="6">
        <f>MSD_Det!M76</f>
        <v>0</v>
      </c>
      <c r="T30" s="6">
        <f>MSD_Det!N76</f>
        <v>570.81499508835361</v>
      </c>
      <c r="U30" s="6">
        <f>MSD_Det!O76</f>
        <v>0</v>
      </c>
      <c r="V30" s="6">
        <f t="shared" si="30"/>
        <v>1021.1477870867953</v>
      </c>
      <c r="W30" s="19">
        <f>V30-MSD_Det!P76</f>
        <v>0</v>
      </c>
    </row>
    <row r="31" spans="2:23" x14ac:dyDescent="0.25">
      <c r="B31" t="str">
        <f>STN_5</f>
        <v>SLE</v>
      </c>
      <c r="C31" s="581">
        <f>SUMIFS(Direct_Capex_Composition!BJ$43:BJ$48,Direct_Capex_Composition!$B$43:$B$48,$B31)</f>
        <v>390.64430380268294</v>
      </c>
      <c r="D31" s="581">
        <f>SUMIFS(Direct_Capex_Composition!BK$43:BK$48,Direct_Capex_Composition!$B$43:$B$48,$B31)</f>
        <v>79.925003780873126</v>
      </c>
      <c r="E31" s="581">
        <f>SUMIFS(Direct_Capex_Composition!BL$43:BL$48,Direct_Capex_Composition!$B$43:$B$48,$B31)</f>
        <v>0</v>
      </c>
      <c r="F31" s="581">
        <f>SUMIFS(Direct_Capex_Composition!BM$43:BM$48,Direct_Capex_Composition!$B$43:$B$48,$B31)</f>
        <v>74.842784924071751</v>
      </c>
      <c r="G31" s="581">
        <f>SUMIFS(Direct_Capex_Composition!BN$43:BN$48,Direct_Capex_Composition!$B$43:$B$48,$B31)</f>
        <v>0</v>
      </c>
      <c r="H31" s="689">
        <f t="shared" si="23"/>
        <v>545.41209250762779</v>
      </c>
      <c r="I31" s="571"/>
      <c r="J31" s="438">
        <f t="shared" si="24"/>
        <v>0</v>
      </c>
      <c r="K31" s="438">
        <f t="shared" si="25"/>
        <v>119.88750567130968</v>
      </c>
      <c r="L31" s="438">
        <f t="shared" si="26"/>
        <v>0</v>
      </c>
      <c r="M31" s="438">
        <f t="shared" si="27"/>
        <v>673.58506431664568</v>
      </c>
      <c r="N31" s="438">
        <f t="shared" si="28"/>
        <v>0</v>
      </c>
      <c r="O31" s="689">
        <f t="shared" si="29"/>
        <v>793.47256998795535</v>
      </c>
      <c r="P31" s="191"/>
      <c r="Q31" s="6">
        <f>SLE_Det!K78</f>
        <v>390.64430380268294</v>
      </c>
      <c r="R31" s="6">
        <f>SLE_Det!L78</f>
        <v>199.81250945218281</v>
      </c>
      <c r="S31" s="6">
        <f>SLE_Det!M78</f>
        <v>0</v>
      </c>
      <c r="T31" s="6">
        <f>SLE_Det!N78</f>
        <v>748.42784924071748</v>
      </c>
      <c r="U31" s="6">
        <f>SLE_Det!O78</f>
        <v>0</v>
      </c>
      <c r="V31" s="6">
        <f t="shared" si="30"/>
        <v>1338.8846624955831</v>
      </c>
      <c r="W31" s="19">
        <f>V31-SLE_Det!P78</f>
        <v>0</v>
      </c>
    </row>
    <row r="32" spans="2:23" x14ac:dyDescent="0.25">
      <c r="B32" t="str">
        <f>STN_9</f>
        <v>KLO2</v>
      </c>
      <c r="C32" s="581">
        <f>SUMIFS(Direct_Capex_Composition!BJ$43:BJ$48,Direct_Capex_Composition!$B$43:$B$48,$B32)</f>
        <v>0</v>
      </c>
      <c r="D32" s="581">
        <f>SUMIFS(Direct_Capex_Composition!BK$43:BK$48,Direct_Capex_Composition!$B$43:$B$48,$B32)</f>
        <v>0</v>
      </c>
      <c r="E32" s="581">
        <f>SUMIFS(Direct_Capex_Composition!BL$43:BL$48,Direct_Capex_Composition!$B$43:$B$48,$B32)</f>
        <v>0</v>
      </c>
      <c r="F32" s="581">
        <f>SUMIFS(Direct_Capex_Composition!BM$43:BM$48,Direct_Capex_Composition!$B$43:$B$48,$B32)</f>
        <v>0</v>
      </c>
      <c r="G32" s="581">
        <f>SUMIFS(Direct_Capex_Composition!BN$43:BN$48,Direct_Capex_Composition!$B$43:$B$48,$B32)</f>
        <v>0</v>
      </c>
      <c r="H32" s="689">
        <f t="shared" si="23"/>
        <v>0</v>
      </c>
      <c r="I32" s="571"/>
      <c r="J32" s="438">
        <f t="shared" si="24"/>
        <v>0</v>
      </c>
      <c r="K32" s="438">
        <f t="shared" si="25"/>
        <v>0</v>
      </c>
      <c r="L32" s="438">
        <f t="shared" si="26"/>
        <v>0</v>
      </c>
      <c r="M32" s="438">
        <f t="shared" si="27"/>
        <v>0</v>
      </c>
      <c r="N32" s="438">
        <f t="shared" si="28"/>
        <v>0</v>
      </c>
      <c r="O32" s="689">
        <f t="shared" si="29"/>
        <v>0</v>
      </c>
      <c r="P32" s="191"/>
      <c r="Q32" s="6"/>
      <c r="R32" s="6"/>
      <c r="S32" s="6"/>
      <c r="T32" s="6"/>
      <c r="U32" s="6"/>
      <c r="V32" s="6">
        <f t="shared" si="30"/>
        <v>0</v>
      </c>
      <c r="W32" s="19"/>
    </row>
    <row r="33" spans="2:24" x14ac:dyDescent="0.25">
      <c r="B33" t="s">
        <v>6</v>
      </c>
      <c r="C33" s="602">
        <f t="shared" ref="C33:H33" si="31">SUM(C27:C32)</f>
        <v>1381.1304074335294</v>
      </c>
      <c r="D33" s="602">
        <f t="shared" si="31"/>
        <v>374.01282994882433</v>
      </c>
      <c r="E33" s="602">
        <f t="shared" si="31"/>
        <v>0</v>
      </c>
      <c r="F33" s="602">
        <f t="shared" si="31"/>
        <v>778.3415930979578</v>
      </c>
      <c r="G33" s="602">
        <f t="shared" si="31"/>
        <v>0</v>
      </c>
      <c r="H33" s="690">
        <f t="shared" si="31"/>
        <v>2533.4848304803113</v>
      </c>
      <c r="I33" s="571"/>
      <c r="J33" s="602">
        <f t="shared" ref="J33:O33" si="32">SUM(J27:J32)</f>
        <v>0</v>
      </c>
      <c r="K33" s="602">
        <f t="shared" si="32"/>
        <v>332.42811877009524</v>
      </c>
      <c r="L33" s="602">
        <f t="shared" si="32"/>
        <v>0</v>
      </c>
      <c r="M33" s="602">
        <f t="shared" si="32"/>
        <v>1867.7393820864368</v>
      </c>
      <c r="N33" s="602">
        <f t="shared" si="32"/>
        <v>0</v>
      </c>
      <c r="O33" s="690">
        <f t="shared" si="32"/>
        <v>2200.1675008565321</v>
      </c>
      <c r="P33" s="191"/>
      <c r="Q33" s="21">
        <f t="shared" ref="Q33:V33" si="33">SUM(Q27:Q32)</f>
        <v>1381.1304074335294</v>
      </c>
      <c r="R33" s="21">
        <f t="shared" si="33"/>
        <v>706.44094871891957</v>
      </c>
      <c r="S33" s="21">
        <f t="shared" si="33"/>
        <v>0</v>
      </c>
      <c r="T33" s="21">
        <f t="shared" si="33"/>
        <v>2646.0809751843944</v>
      </c>
      <c r="U33" s="21">
        <f t="shared" si="33"/>
        <v>0</v>
      </c>
      <c r="V33" s="21">
        <f t="shared" si="33"/>
        <v>4733.6523313368434</v>
      </c>
      <c r="W33" s="390"/>
    </row>
    <row r="34" spans="2:24" x14ac:dyDescent="0.25">
      <c r="B34" s="53"/>
      <c r="C34" s="603"/>
      <c r="D34" s="603"/>
      <c r="E34" s="603"/>
      <c r="F34" s="603"/>
      <c r="G34" s="603"/>
      <c r="H34" s="691"/>
      <c r="I34" s="603"/>
      <c r="J34" s="471"/>
      <c r="K34" s="471"/>
      <c r="L34" s="471"/>
      <c r="M34" s="471"/>
      <c r="N34" s="471"/>
      <c r="O34" s="692"/>
      <c r="Q34" s="389"/>
      <c r="R34" s="389"/>
      <c r="S34" s="389"/>
      <c r="T34" s="389"/>
      <c r="U34" s="389"/>
      <c r="V34" s="389"/>
    </row>
    <row r="35" spans="2:24" x14ac:dyDescent="0.25">
      <c r="B35" s="25" t="s">
        <v>596</v>
      </c>
      <c r="C35" s="777" t="s">
        <v>567</v>
      </c>
      <c r="D35" s="777"/>
      <c r="E35" s="777"/>
      <c r="F35" s="777"/>
      <c r="G35" s="777"/>
      <c r="H35" s="777"/>
      <c r="I35" s="124"/>
      <c r="J35" s="777" t="s">
        <v>568</v>
      </c>
      <c r="K35" s="777"/>
      <c r="L35" s="777"/>
      <c r="M35" s="777"/>
      <c r="N35" s="777"/>
      <c r="O35" s="777"/>
      <c r="Q35" s="778" t="s">
        <v>119</v>
      </c>
      <c r="R35" s="778"/>
      <c r="S35" s="778"/>
      <c r="T35" s="778"/>
      <c r="U35" s="778"/>
      <c r="V35" s="778"/>
    </row>
    <row r="36" spans="2:24" ht="30" x14ac:dyDescent="0.25">
      <c r="C36" s="535" t="s">
        <v>151</v>
      </c>
      <c r="D36" s="535" t="s">
        <v>63</v>
      </c>
      <c r="E36" s="601" t="s">
        <v>152</v>
      </c>
      <c r="F36" s="601" t="s">
        <v>153</v>
      </c>
      <c r="G36" s="535" t="s">
        <v>77</v>
      </c>
      <c r="H36" s="688" t="s">
        <v>154</v>
      </c>
      <c r="I36" s="471"/>
      <c r="J36" s="535" t="s">
        <v>151</v>
      </c>
      <c r="K36" s="535" t="s">
        <v>63</v>
      </c>
      <c r="L36" s="601" t="s">
        <v>152</v>
      </c>
      <c r="M36" s="601" t="s">
        <v>153</v>
      </c>
      <c r="N36" s="535" t="s">
        <v>77</v>
      </c>
      <c r="O36" s="688" t="s">
        <v>154</v>
      </c>
      <c r="Q36" s="436" t="s">
        <v>151</v>
      </c>
      <c r="R36" s="436" t="s">
        <v>63</v>
      </c>
      <c r="S36" s="13" t="s">
        <v>152</v>
      </c>
      <c r="T36" s="13" t="s">
        <v>153</v>
      </c>
      <c r="U36" s="436" t="s">
        <v>77</v>
      </c>
      <c r="V36" s="13" t="s">
        <v>154</v>
      </c>
      <c r="W36" s="13" t="s">
        <v>72</v>
      </c>
    </row>
    <row r="37" spans="2:24" x14ac:dyDescent="0.25">
      <c r="B37" t="str">
        <f>STN_1</f>
        <v>BN</v>
      </c>
      <c r="C37" s="581">
        <f>SUMIFS(Direct_Capex_Composition!BJ$51:BJ$56,Direct_Capex_Composition!$B$51:$B$56,$B37)</f>
        <v>160.29193859091572</v>
      </c>
      <c r="D37" s="581">
        <f>SUMIFS(Direct_Capex_Composition!BK$51:BK$56,Direct_Capex_Composition!$B$51:$B$56,$B37)</f>
        <v>32.17667276051187</v>
      </c>
      <c r="E37" s="581">
        <f>SUMIFS(Direct_Capex_Composition!BL$51:BL$56,Direct_Capex_Composition!$B$51:$B$56,$B37)</f>
        <v>0</v>
      </c>
      <c r="F37" s="581">
        <f>SUMIFS(Direct_Capex_Composition!BM$51:BM$56,Direct_Capex_Composition!$B$51:$B$56,$B37)</f>
        <v>136.80455384324617</v>
      </c>
      <c r="G37" s="581">
        <f>SUMIFS(Direct_Capex_Composition!BN$51:BN$56,Direct_Capex_Composition!$B$51:$B$56,$B37)</f>
        <v>0</v>
      </c>
      <c r="H37" s="689">
        <f t="shared" ref="H37:H42" si="34">SUM(C37:G37)</f>
        <v>329.27316519467377</v>
      </c>
      <c r="I37" s="571"/>
      <c r="J37" s="438">
        <f t="shared" ref="J37:J42" si="35">Q37-C37</f>
        <v>0</v>
      </c>
      <c r="K37" s="438">
        <f t="shared" ref="K37:K42" si="36">R37-D37</f>
        <v>48.265009140767809</v>
      </c>
      <c r="L37" s="438">
        <f t="shared" ref="L37:L42" si="37">S37-E37</f>
        <v>0</v>
      </c>
      <c r="M37" s="438">
        <f t="shared" ref="M37:M42" si="38">T37-F37</f>
        <v>1231.2409845892155</v>
      </c>
      <c r="N37" s="438">
        <f t="shared" ref="N37:N42" si="39">U37-G37</f>
        <v>0</v>
      </c>
      <c r="O37" s="689">
        <f t="shared" ref="O37:O42" si="40">SUM(J37:N37)</f>
        <v>1279.5059937299834</v>
      </c>
      <c r="Q37" s="448">
        <f>SUM(BN_Det!K79:K82)</f>
        <v>160.29193859091572</v>
      </c>
      <c r="R37" s="448">
        <f>SUM(BN_Det!L79:L82)</f>
        <v>80.441681901279679</v>
      </c>
      <c r="S37" s="448">
        <f>SUM(BN_Det!M79:M82)</f>
        <v>0</v>
      </c>
      <c r="T37" s="448">
        <f>SUM(BN_Det!N79:N82)</f>
        <v>1368.0455384324616</v>
      </c>
      <c r="U37" s="448">
        <f>SUM(BN_Det!O79:O82)</f>
        <v>0</v>
      </c>
      <c r="V37" s="6">
        <f t="shared" ref="V37:V42" si="41">SUM(Q37:U37)</f>
        <v>1608.7791589246569</v>
      </c>
      <c r="W37" s="19">
        <f>V37-SUM(BN_Det!P79:P82)</f>
        <v>0</v>
      </c>
    </row>
    <row r="38" spans="2:24" x14ac:dyDescent="0.25">
      <c r="B38" t="str">
        <f>STN_2</f>
        <v>KLO</v>
      </c>
      <c r="C38" s="581">
        <f>SUMIFS(Direct_Capex_Composition!BJ$51:BJ$56,Direct_Capex_Composition!$B$51:$B$56,$B38)</f>
        <v>45.102472334946782</v>
      </c>
      <c r="D38" s="581">
        <f>SUMIFS(Direct_Capex_Composition!BK$51:BK$56,Direct_Capex_Composition!$B$51:$B$56,$B38)</f>
        <v>24.132504570383908</v>
      </c>
      <c r="E38" s="581">
        <f>SUMIFS(Direct_Capex_Composition!BL$51:BL$56,Direct_Capex_Composition!$B$51:$B$56,$B38)</f>
        <v>0</v>
      </c>
      <c r="F38" s="581">
        <f>SUMIFS(Direct_Capex_Composition!BM$51:BM$56,Direct_Capex_Composition!$B$51:$B$56,$B38)</f>
        <v>31.148290478088853</v>
      </c>
      <c r="G38" s="581">
        <f>SUMIFS(Direct_Capex_Composition!BN$51:BN$56,Direct_Capex_Composition!$B$51:$B$56,$B38)</f>
        <v>0</v>
      </c>
      <c r="H38" s="689">
        <f t="shared" si="34"/>
        <v>100.38326738341954</v>
      </c>
      <c r="I38" s="571"/>
      <c r="J38" s="438">
        <f t="shared" si="35"/>
        <v>0</v>
      </c>
      <c r="K38" s="438">
        <f t="shared" si="36"/>
        <v>36.198756855575859</v>
      </c>
      <c r="L38" s="438">
        <f t="shared" si="37"/>
        <v>0</v>
      </c>
      <c r="M38" s="438">
        <f t="shared" si="38"/>
        <v>280.33461430279965</v>
      </c>
      <c r="N38" s="438">
        <f t="shared" si="39"/>
        <v>0</v>
      </c>
      <c r="O38" s="689">
        <f t="shared" si="40"/>
        <v>316.53337115837553</v>
      </c>
      <c r="Q38" s="448">
        <f>SUM(KLO_Det!K80:K83)</f>
        <v>45.102472334946782</v>
      </c>
      <c r="R38" s="448">
        <f>SUM(KLO_Det!L80:L83)</f>
        <v>60.331261425959767</v>
      </c>
      <c r="S38" s="448">
        <f>SUM(KLO_Det!M80:M83)</f>
        <v>0</v>
      </c>
      <c r="T38" s="448">
        <f>SUM(KLO_Det!N80:N83)</f>
        <v>311.48290478088853</v>
      </c>
      <c r="U38" s="448">
        <f>SUM(KLO_Det!O80:O83)</f>
        <v>0</v>
      </c>
      <c r="V38" s="6">
        <f t="shared" si="41"/>
        <v>416.91663854179507</v>
      </c>
      <c r="W38" s="19">
        <f>V38-SUM(KLO_Det!P80:P83)</f>
        <v>0</v>
      </c>
    </row>
    <row r="39" spans="2:24" x14ac:dyDescent="0.25">
      <c r="B39" t="str">
        <f>STN_3</f>
        <v>LLG</v>
      </c>
      <c r="C39" s="581">
        <f>SUMIFS(Direct_Capex_Composition!BJ$51:BJ$56,Direct_Capex_Composition!$B$51:$B$56,$B39)</f>
        <v>38.263091803973339</v>
      </c>
      <c r="D39" s="581">
        <f>SUMIFS(Direct_Capex_Composition!BK$51:BK$56,Direct_Capex_Composition!$B$51:$B$56,$B39)</f>
        <v>16.088336380255935</v>
      </c>
      <c r="E39" s="581">
        <f>SUMIFS(Direct_Capex_Composition!BL$51:BL$56,Direct_Capex_Composition!$B$51:$B$56,$B39)</f>
        <v>0</v>
      </c>
      <c r="F39" s="581">
        <f>SUMIFS(Direct_Capex_Composition!BM$51:BM$56,Direct_Capex_Composition!$B$51:$B$56,$B39)</f>
        <v>24.49762493415486</v>
      </c>
      <c r="G39" s="581">
        <f>SUMIFS(Direct_Capex_Composition!BN$51:BN$56,Direct_Capex_Composition!$B$51:$B$56,$B39)</f>
        <v>0</v>
      </c>
      <c r="H39" s="689">
        <f t="shared" si="34"/>
        <v>78.849053118384134</v>
      </c>
      <c r="I39" s="571"/>
      <c r="J39" s="438">
        <f t="shared" si="35"/>
        <v>0</v>
      </c>
      <c r="K39" s="438">
        <f t="shared" si="36"/>
        <v>24.132504570383905</v>
      </c>
      <c r="L39" s="438">
        <f t="shared" si="37"/>
        <v>0</v>
      </c>
      <c r="M39" s="438">
        <f t="shared" si="38"/>
        <v>220.47862440739374</v>
      </c>
      <c r="N39" s="438">
        <f t="shared" si="39"/>
        <v>0</v>
      </c>
      <c r="O39" s="689">
        <f t="shared" si="40"/>
        <v>244.61112897777764</v>
      </c>
      <c r="Q39" s="448">
        <f>SUM(LLG_Det!K78:K81)</f>
        <v>38.263091803973339</v>
      </c>
      <c r="R39" s="448">
        <f>SUM(LLG_Det!L78:L81)</f>
        <v>40.22084095063984</v>
      </c>
      <c r="S39" s="448">
        <f>SUM(LLG_Det!M78:M81)</f>
        <v>0</v>
      </c>
      <c r="T39" s="448">
        <f>SUM(LLG_Det!N78:N81)</f>
        <v>244.97624934154859</v>
      </c>
      <c r="U39" s="448">
        <f>SUM(LLG_Det!O78:O81)</f>
        <v>0</v>
      </c>
      <c r="V39" s="6">
        <f t="shared" si="41"/>
        <v>323.46018209616176</v>
      </c>
      <c r="W39" s="19">
        <f>V39-SUM(LLG_Det!P78:P81)</f>
        <v>0</v>
      </c>
    </row>
    <row r="40" spans="2:24" x14ac:dyDescent="0.25">
      <c r="B40" t="str">
        <f>STN_4</f>
        <v>MSD</v>
      </c>
      <c r="C40" s="581">
        <f>SUMIFS(Direct_Capex_Composition!BJ$51:BJ$56,Direct_Capex_Composition!$B$51:$B$56,$B40)</f>
        <v>29.447513812154696</v>
      </c>
      <c r="D40" s="581">
        <f>SUMIFS(Direct_Capex_Composition!BK$51:BK$56,Direct_Capex_Composition!$B$51:$B$56,$B40)</f>
        <v>50.276051188299796</v>
      </c>
      <c r="E40" s="581">
        <f>SUMIFS(Direct_Capex_Composition!BL$51:BL$56,Direct_Capex_Composition!$B$51:$B$56,$B40)</f>
        <v>0</v>
      </c>
      <c r="F40" s="581">
        <f>SUMIFS(Direct_Capex_Composition!BM$51:BM$56,Direct_Capex_Composition!$B$51:$B$56,$B40)</f>
        <v>95.704419889502759</v>
      </c>
      <c r="G40" s="581">
        <f>SUMIFS(Direct_Capex_Composition!BN$51:BN$56,Direct_Capex_Composition!$B$51:$B$56,$B40)</f>
        <v>0</v>
      </c>
      <c r="H40" s="689">
        <f t="shared" si="34"/>
        <v>175.42798488995726</v>
      </c>
      <c r="I40" s="571"/>
      <c r="J40" s="438">
        <f t="shared" si="35"/>
        <v>0</v>
      </c>
      <c r="K40" s="438">
        <f t="shared" si="36"/>
        <v>0</v>
      </c>
      <c r="L40" s="438">
        <f t="shared" si="37"/>
        <v>0</v>
      </c>
      <c r="M40" s="438">
        <f t="shared" si="38"/>
        <v>0</v>
      </c>
      <c r="N40" s="438">
        <f t="shared" si="39"/>
        <v>0</v>
      </c>
      <c r="O40" s="689">
        <f t="shared" si="40"/>
        <v>0</v>
      </c>
      <c r="Q40" s="448">
        <f>SUM(MSD_Det!K77:K80)</f>
        <v>29.447513812154696</v>
      </c>
      <c r="R40" s="448">
        <f>SUM(MSD_Det!L77:L80)</f>
        <v>50.276051188299796</v>
      </c>
      <c r="S40" s="448">
        <f>SUM(MSD_Det!M77:M80)</f>
        <v>0</v>
      </c>
      <c r="T40" s="448">
        <f>SUM(MSD_Det!N77:N80)</f>
        <v>95.704419889502759</v>
      </c>
      <c r="U40" s="448">
        <f>SUM(MSD_Det!O77:O80)</f>
        <v>0</v>
      </c>
      <c r="V40" s="6">
        <f t="shared" si="41"/>
        <v>175.42798488995726</v>
      </c>
      <c r="W40" s="19">
        <f>V40-SUM(MSD_Det!P77:P80)</f>
        <v>0</v>
      </c>
    </row>
    <row r="41" spans="2:24" x14ac:dyDescent="0.25">
      <c r="B41" t="str">
        <f>STN_5</f>
        <v>SLE</v>
      </c>
      <c r="C41" s="581">
        <f>SUMIFS(Direct_Capex_Composition!BJ$51:BJ$56,Direct_Capex_Composition!$B$51:$B$56,$B41)</f>
        <v>181.51760230772987</v>
      </c>
      <c r="D41" s="581">
        <f>SUMIFS(Direct_Capex_Composition!BK$51:BK$56,Direct_Capex_Composition!$B$51:$B$56,$B41)</f>
        <v>20.11042047531992</v>
      </c>
      <c r="E41" s="581">
        <f>SUMIFS(Direct_Capex_Composition!BL$51:BL$56,Direct_Capex_Composition!$B$51:$B$56,$B41)</f>
        <v>0</v>
      </c>
      <c r="F41" s="581">
        <f>SUMIFS(Direct_Capex_Composition!BM$51:BM$56,Direct_Capex_Composition!$B$51:$B$56,$B41)</f>
        <v>157.44455035890337</v>
      </c>
      <c r="G41" s="581">
        <f>SUMIFS(Direct_Capex_Composition!BN$51:BN$56,Direct_Capex_Composition!$B$51:$B$56,$B41)</f>
        <v>0</v>
      </c>
      <c r="H41" s="689">
        <f t="shared" si="34"/>
        <v>359.07257314195317</v>
      </c>
      <c r="I41" s="571"/>
      <c r="J41" s="438">
        <f t="shared" si="35"/>
        <v>0</v>
      </c>
      <c r="K41" s="438">
        <f t="shared" si="36"/>
        <v>30.165630712979876</v>
      </c>
      <c r="L41" s="438">
        <f t="shared" si="37"/>
        <v>0</v>
      </c>
      <c r="M41" s="438">
        <f t="shared" si="38"/>
        <v>1417.0009532301303</v>
      </c>
      <c r="N41" s="438">
        <f t="shared" si="39"/>
        <v>0</v>
      </c>
      <c r="O41" s="689">
        <f t="shared" si="40"/>
        <v>1447.1665839431103</v>
      </c>
      <c r="Q41" s="448">
        <f>SUM(SLE_Det!K79:K83)</f>
        <v>181.51760230772987</v>
      </c>
      <c r="R41" s="448">
        <f>SUM(SLE_Det!L79:L83)</f>
        <v>50.276051188299796</v>
      </c>
      <c r="S41" s="448">
        <f>SUM(SLE_Det!M79:M83)</f>
        <v>0</v>
      </c>
      <c r="T41" s="448">
        <f>SUM(SLE_Det!N79:N83)</f>
        <v>1574.4455035890337</v>
      </c>
      <c r="U41" s="448">
        <f>SUM(SLE_Det!O79:O83)</f>
        <v>0</v>
      </c>
      <c r="V41" s="6">
        <f t="shared" si="41"/>
        <v>1806.2391570850634</v>
      </c>
      <c r="W41" s="19">
        <f>V41-SUM(SLE_Det!P79:P83)</f>
        <v>0</v>
      </c>
      <c r="X41" s="46"/>
    </row>
    <row r="42" spans="2:24" x14ac:dyDescent="0.25">
      <c r="B42" t="str">
        <f>STN_9</f>
        <v>KLO2</v>
      </c>
      <c r="C42" s="581">
        <f>SUMIFS(Direct_Capex_Composition!BJ$51:BJ$56,Direct_Capex_Composition!$B$51:$B$56,$B42)</f>
        <v>0</v>
      </c>
      <c r="D42" s="581">
        <f>SUMIFS(Direct_Capex_Composition!BK$51:BK$56,Direct_Capex_Composition!$B$51:$B$56,$B42)</f>
        <v>0</v>
      </c>
      <c r="E42" s="581">
        <f>SUMIFS(Direct_Capex_Composition!BL$51:BL$56,Direct_Capex_Composition!$B$51:$B$56,$B42)</f>
        <v>0</v>
      </c>
      <c r="F42" s="581">
        <f>SUMIFS(Direct_Capex_Composition!BM$51:BM$56,Direct_Capex_Composition!$B$51:$B$56,$B42)</f>
        <v>0</v>
      </c>
      <c r="G42" s="581">
        <f>SUMIFS(Direct_Capex_Composition!BN$51:BN$56,Direct_Capex_Composition!$B$51:$B$56,$B42)</f>
        <v>0</v>
      </c>
      <c r="H42" s="689">
        <f t="shared" si="34"/>
        <v>0</v>
      </c>
      <c r="I42" s="571"/>
      <c r="J42" s="438">
        <f t="shared" si="35"/>
        <v>0</v>
      </c>
      <c r="K42" s="438">
        <f t="shared" si="36"/>
        <v>0</v>
      </c>
      <c r="L42" s="438">
        <f t="shared" si="37"/>
        <v>0</v>
      </c>
      <c r="M42" s="438">
        <f t="shared" si="38"/>
        <v>0</v>
      </c>
      <c r="N42" s="438">
        <f t="shared" si="39"/>
        <v>0</v>
      </c>
      <c r="O42" s="689">
        <f t="shared" si="40"/>
        <v>0</v>
      </c>
      <c r="Q42" s="448"/>
      <c r="R42" s="448"/>
      <c r="S42" s="448"/>
      <c r="T42" s="448"/>
      <c r="U42" s="448"/>
      <c r="V42" s="6">
        <f t="shared" si="41"/>
        <v>0</v>
      </c>
      <c r="W42" s="19"/>
    </row>
    <row r="43" spans="2:24" x14ac:dyDescent="0.25">
      <c r="B43" t="s">
        <v>6</v>
      </c>
      <c r="C43" s="605">
        <f t="shared" ref="C43:H43" si="42">SUM(C37:C42)</f>
        <v>454.62261884972042</v>
      </c>
      <c r="D43" s="605">
        <f t="shared" si="42"/>
        <v>142.78398537477145</v>
      </c>
      <c r="E43" s="605">
        <f t="shared" si="42"/>
        <v>0</v>
      </c>
      <c r="F43" s="605">
        <f t="shared" si="42"/>
        <v>445.59943950389601</v>
      </c>
      <c r="G43" s="605">
        <f t="shared" si="42"/>
        <v>0</v>
      </c>
      <c r="H43" s="690">
        <f t="shared" si="42"/>
        <v>1043.0060437283878</v>
      </c>
      <c r="I43" s="471"/>
      <c r="J43" s="605">
        <f t="shared" ref="J43:O43" si="43">SUM(J37:J42)</f>
        <v>0</v>
      </c>
      <c r="K43" s="605">
        <f t="shared" si="43"/>
        <v>138.76190127970744</v>
      </c>
      <c r="L43" s="605">
        <f t="shared" si="43"/>
        <v>0</v>
      </c>
      <c r="M43" s="605">
        <f t="shared" si="43"/>
        <v>3149.055176529539</v>
      </c>
      <c r="N43" s="605">
        <f t="shared" si="43"/>
        <v>0</v>
      </c>
      <c r="O43" s="690">
        <f t="shared" si="43"/>
        <v>3287.8170778092467</v>
      </c>
      <c r="Q43" s="21">
        <f t="shared" ref="Q43:V43" si="44">SUM(Q37:Q42)</f>
        <v>454.62261884972042</v>
      </c>
      <c r="R43" s="21">
        <f t="shared" si="44"/>
        <v>281.54588665447886</v>
      </c>
      <c r="S43" s="21">
        <f t="shared" si="44"/>
        <v>0</v>
      </c>
      <c r="T43" s="21">
        <f t="shared" si="44"/>
        <v>3594.6546160334351</v>
      </c>
      <c r="U43" s="21">
        <f t="shared" si="44"/>
        <v>0</v>
      </c>
      <c r="V43" s="21">
        <f t="shared" si="44"/>
        <v>4330.8231215376345</v>
      </c>
    </row>
    <row r="44" spans="2:24" x14ac:dyDescent="0.25">
      <c r="C44" s="471"/>
      <c r="D44" s="471"/>
      <c r="E44" s="471"/>
      <c r="F44" s="471"/>
      <c r="G44" s="471"/>
      <c r="H44" s="692"/>
      <c r="I44" s="471"/>
      <c r="J44" s="471"/>
      <c r="K44" s="471"/>
      <c r="L44" s="471"/>
      <c r="M44" s="471"/>
      <c r="N44" s="471"/>
      <c r="O44" s="692"/>
      <c r="Q44" s="202"/>
      <c r="R44" s="202"/>
      <c r="S44" s="202"/>
      <c r="T44" s="202"/>
      <c r="U44" s="202"/>
      <c r="V44" s="202"/>
    </row>
    <row r="45" spans="2:24" x14ac:dyDescent="0.25">
      <c r="B45" s="25" t="s">
        <v>597</v>
      </c>
      <c r="C45" s="777" t="s">
        <v>567</v>
      </c>
      <c r="D45" s="777"/>
      <c r="E45" s="777"/>
      <c r="F45" s="777"/>
      <c r="G45" s="777"/>
      <c r="H45" s="777"/>
      <c r="I45" s="124"/>
      <c r="J45" s="777" t="s">
        <v>568</v>
      </c>
      <c r="K45" s="777"/>
      <c r="L45" s="777"/>
      <c r="M45" s="777"/>
      <c r="N45" s="777"/>
      <c r="O45" s="777"/>
      <c r="Q45" s="778" t="s">
        <v>119</v>
      </c>
      <c r="R45" s="778"/>
      <c r="S45" s="778"/>
      <c r="T45" s="778"/>
      <c r="U45" s="778"/>
      <c r="V45" s="778"/>
    </row>
    <row r="46" spans="2:24" ht="30" x14ac:dyDescent="0.25">
      <c r="C46" s="535" t="s">
        <v>151</v>
      </c>
      <c r="D46" s="535" t="s">
        <v>63</v>
      </c>
      <c r="E46" s="601" t="s">
        <v>152</v>
      </c>
      <c r="F46" s="601" t="s">
        <v>153</v>
      </c>
      <c r="G46" s="535" t="s">
        <v>77</v>
      </c>
      <c r="H46" s="688" t="s">
        <v>154</v>
      </c>
      <c r="I46" s="471"/>
      <c r="J46" s="535" t="s">
        <v>151</v>
      </c>
      <c r="K46" s="535" t="s">
        <v>63</v>
      </c>
      <c r="L46" s="601" t="s">
        <v>152</v>
      </c>
      <c r="M46" s="601" t="s">
        <v>153</v>
      </c>
      <c r="N46" s="535" t="s">
        <v>77</v>
      </c>
      <c r="O46" s="688" t="s">
        <v>154</v>
      </c>
      <c r="Q46" s="163" t="s">
        <v>151</v>
      </c>
      <c r="R46" s="163" t="s">
        <v>63</v>
      </c>
      <c r="S46" s="13" t="s">
        <v>152</v>
      </c>
      <c r="T46" s="13" t="s">
        <v>153</v>
      </c>
      <c r="U46" s="163" t="s">
        <v>77</v>
      </c>
      <c r="V46" s="13" t="s">
        <v>154</v>
      </c>
      <c r="W46" s="13" t="s">
        <v>72</v>
      </c>
    </row>
    <row r="47" spans="2:24" x14ac:dyDescent="0.25">
      <c r="B47" t="str">
        <f>STN_1</f>
        <v>BN</v>
      </c>
      <c r="C47" s="581">
        <f>SUMIFS(Direct_Capex_Composition!BJ$59:BJ$64,Direct_Capex_Composition!$B$59:$B$64,$B47)</f>
        <v>191.91330093717454</v>
      </c>
      <c r="D47" s="581">
        <f>SUMIFS(Direct_Capex_Composition!BK$59:BK$64,Direct_Capex_Composition!$B$59:$B$64,$B47)</f>
        <v>24.767238805970251</v>
      </c>
      <c r="E47" s="581">
        <f>SUMIFS(Direct_Capex_Composition!BL$59:BL$64,Direct_Capex_Composition!$B$59:$B$64,$B47)</f>
        <v>39.511561957653583</v>
      </c>
      <c r="F47" s="581">
        <f>SUMIFS(Direct_Capex_Composition!BM$59:BM$64,Direct_Capex_Composition!$B$59:$B$64,$B47)</f>
        <v>21.449133634154805</v>
      </c>
      <c r="G47" s="581">
        <f>SUMIFS(Direct_Capex_Composition!BN$59:BN$64,Direct_Capex_Composition!$B$59:$B$64,$B47)</f>
        <v>5.6445088510933692</v>
      </c>
      <c r="H47" s="689">
        <f t="shared" ref="H47:H52" si="45">SUM(C47:G47)</f>
        <v>283.28574418604654</v>
      </c>
      <c r="I47" s="571"/>
      <c r="J47" s="438">
        <f t="shared" ref="J47:J52" si="46">Q47-C47</f>
        <v>0</v>
      </c>
      <c r="K47" s="438">
        <f t="shared" ref="K47:K52" si="47">R47-D47</f>
        <v>37.150858208955384</v>
      </c>
      <c r="L47" s="438">
        <f t="shared" ref="L47:L52" si="48">S47-E47</f>
        <v>0</v>
      </c>
      <c r="M47" s="438">
        <f t="shared" ref="M47:M52" si="49">T47-F47</f>
        <v>193.04220270739319</v>
      </c>
      <c r="N47" s="438">
        <f t="shared" ref="N47:N52" si="50">U47-G47</f>
        <v>50.800579659840317</v>
      </c>
      <c r="O47" s="689">
        <f t="shared" ref="O47:O52" si="51">SUM(J47:N47)</f>
        <v>280.99364057618891</v>
      </c>
      <c r="Q47" s="6">
        <f>BN_Det!K85</f>
        <v>191.91330093717454</v>
      </c>
      <c r="R47" s="6">
        <f>BN_Det!L85</f>
        <v>61.918097014925635</v>
      </c>
      <c r="S47" s="6">
        <f>BN_Det!M85</f>
        <v>39.511561957653583</v>
      </c>
      <c r="T47" s="6">
        <f>BN_Det!N85</f>
        <v>214.49133634154799</v>
      </c>
      <c r="U47" s="6">
        <f>BN_Det!O85</f>
        <v>56.445088510933687</v>
      </c>
      <c r="V47" s="14">
        <f t="shared" ref="V47:V52" si="52">SUM(Q47:U47)</f>
        <v>564.2793847622354</v>
      </c>
      <c r="W47" s="11">
        <f>V47-BN_Det!P85</f>
        <v>0</v>
      </c>
    </row>
    <row r="48" spans="2:24" x14ac:dyDescent="0.25">
      <c r="B48" t="str">
        <f>STN_2</f>
        <v>KLO</v>
      </c>
      <c r="C48" s="581">
        <f>SUMIFS(Direct_Capex_Composition!BJ$59:BJ$64,Direct_Capex_Composition!$B$59:$B$64,$B48)</f>
        <v>21.323700104130506</v>
      </c>
      <c r="D48" s="581">
        <f>SUMIFS(Direct_Capex_Composition!BK$59:BK$64,Direct_Capex_Composition!$B$59:$B$64,$B48)</f>
        <v>2.7519154228855829</v>
      </c>
      <c r="E48" s="581">
        <f>SUMIFS(Direct_Capex_Composition!BL$59:BL$64,Direct_Capex_Composition!$B$59:$B$64,$B48)</f>
        <v>4.3901735508503981</v>
      </c>
      <c r="F48" s="581">
        <f>SUMIFS(Direct_Capex_Composition!BM$59:BM$64,Direct_Capex_Composition!$B$59:$B$64,$B48)</f>
        <v>2.3832370704616448</v>
      </c>
      <c r="G48" s="581">
        <f>SUMIFS(Direct_Capex_Composition!BN$59:BN$64,Direct_Capex_Composition!$B$59:$B$64,$B48)</f>
        <v>0</v>
      </c>
      <c r="H48" s="689">
        <f t="shared" si="45"/>
        <v>30.849026148328136</v>
      </c>
      <c r="I48" s="571"/>
      <c r="J48" s="438">
        <f t="shared" si="46"/>
        <v>0</v>
      </c>
      <c r="K48" s="438">
        <f t="shared" si="47"/>
        <v>4.1278731343283752</v>
      </c>
      <c r="L48" s="438">
        <f t="shared" si="48"/>
        <v>0</v>
      </c>
      <c r="M48" s="438">
        <f t="shared" si="49"/>
        <v>21.449133634154798</v>
      </c>
      <c r="N48" s="438">
        <f t="shared" si="50"/>
        <v>6.2716765012148539</v>
      </c>
      <c r="O48" s="689">
        <f t="shared" si="51"/>
        <v>31.848683269698029</v>
      </c>
      <c r="Q48" s="6">
        <f>KLO_Det!K86</f>
        <v>21.323700104130506</v>
      </c>
      <c r="R48" s="6">
        <f>KLO_Det!L86</f>
        <v>6.8797885572139581</v>
      </c>
      <c r="S48" s="6">
        <f>KLO_Det!M86</f>
        <v>4.3901735508503981</v>
      </c>
      <c r="T48" s="6">
        <f>KLO_Det!N86</f>
        <v>23.832370704616444</v>
      </c>
      <c r="U48" s="6">
        <f>KLO_Det!O86</f>
        <v>6.2716765012148539</v>
      </c>
      <c r="V48" s="14">
        <f t="shared" si="52"/>
        <v>62.697709418026164</v>
      </c>
      <c r="W48" s="11">
        <f>V48-KLO_Det!P86</f>
        <v>0</v>
      </c>
    </row>
    <row r="49" spans="2:23" x14ac:dyDescent="0.25">
      <c r="B49" t="str">
        <f>STN_3</f>
        <v>LLG</v>
      </c>
      <c r="C49" s="581">
        <f>SUMIFS(Direct_Capex_Composition!BJ$59:BJ$64,Direct_Capex_Composition!$B$59:$B$64,$B49)</f>
        <v>106.61850052065253</v>
      </c>
      <c r="D49" s="581">
        <f>SUMIFS(Direct_Capex_Composition!BK$59:BK$64,Direct_Capex_Composition!$B$59:$B$64,$B49)</f>
        <v>13.759577114427916</v>
      </c>
      <c r="E49" s="581">
        <f>SUMIFS(Direct_Capex_Composition!BL$59:BL$64,Direct_Capex_Composition!$B$59:$B$64,$B49)</f>
        <v>21.950867754251991</v>
      </c>
      <c r="F49" s="581">
        <f>SUMIFS(Direct_Capex_Composition!BM$59:BM$64,Direct_Capex_Composition!$B$59:$B$64,$B49)</f>
        <v>11.916185352308222</v>
      </c>
      <c r="G49" s="581">
        <f>SUMIFS(Direct_Capex_Composition!BN$59:BN$64,Direct_Capex_Composition!$B$59:$B$64,$B49)</f>
        <v>3.1358382506074274</v>
      </c>
      <c r="H49" s="689">
        <f t="shared" si="45"/>
        <v>157.38096899224809</v>
      </c>
      <c r="I49" s="571"/>
      <c r="J49" s="438">
        <f t="shared" si="46"/>
        <v>0</v>
      </c>
      <c r="K49" s="438">
        <f t="shared" si="47"/>
        <v>20.639365671641873</v>
      </c>
      <c r="L49" s="438">
        <f t="shared" si="48"/>
        <v>0</v>
      </c>
      <c r="M49" s="438">
        <f t="shared" si="49"/>
        <v>107.245668170774</v>
      </c>
      <c r="N49" s="438">
        <f t="shared" si="50"/>
        <v>28.222544255466843</v>
      </c>
      <c r="O49" s="689">
        <f t="shared" si="51"/>
        <v>156.10757809788271</v>
      </c>
      <c r="Q49" s="6">
        <f>LLG_Det!K84</f>
        <v>106.61850052065253</v>
      </c>
      <c r="R49" s="6">
        <f>LLG_Det!L84</f>
        <v>34.398942786069789</v>
      </c>
      <c r="S49" s="6">
        <f>LLG_Det!M84</f>
        <v>21.950867754251991</v>
      </c>
      <c r="T49" s="6">
        <f>LLG_Det!N84</f>
        <v>119.16185352308221</v>
      </c>
      <c r="U49" s="6">
        <f>LLG_Det!O84</f>
        <v>31.358382506074271</v>
      </c>
      <c r="V49" s="14">
        <f t="shared" si="52"/>
        <v>313.48854709013079</v>
      </c>
      <c r="W49" s="19">
        <f>V49-LLG_Det!P84</f>
        <v>0</v>
      </c>
    </row>
    <row r="50" spans="2:23" x14ac:dyDescent="0.25">
      <c r="B50" t="str">
        <f>STN_4</f>
        <v>MSD</v>
      </c>
      <c r="C50" s="581">
        <f>SUMIFS(Direct_Capex_Composition!BJ$59:BJ$64,Direct_Capex_Composition!$B$59:$B$64,$B50)</f>
        <v>85.294800416522023</v>
      </c>
      <c r="D50" s="581">
        <f>SUMIFS(Direct_Capex_Composition!BK$59:BK$64,Direct_Capex_Composition!$B$59:$B$64,$B50)</f>
        <v>27.519154228855832</v>
      </c>
      <c r="E50" s="581">
        <f>SUMIFS(Direct_Capex_Composition!BL$59:BL$64,Direct_Capex_Composition!$B$59:$B$64,$B50)</f>
        <v>17.560694203401592</v>
      </c>
      <c r="F50" s="581">
        <f>SUMIFS(Direct_Capex_Composition!BM$59:BM$64,Direct_Capex_Composition!$B$59:$B$64,$B50)</f>
        <v>95.329482818465777</v>
      </c>
      <c r="G50" s="581">
        <f>SUMIFS(Direct_Capex_Composition!BN$59:BN$64,Direct_Capex_Composition!$B$59:$B$64,$B50)</f>
        <v>25.086706004859415</v>
      </c>
      <c r="H50" s="689">
        <f t="shared" si="45"/>
        <v>250.79083767210466</v>
      </c>
      <c r="I50" s="571"/>
      <c r="J50" s="438">
        <f t="shared" si="46"/>
        <v>0</v>
      </c>
      <c r="K50" s="438">
        <f t="shared" si="47"/>
        <v>0</v>
      </c>
      <c r="L50" s="438">
        <f t="shared" si="48"/>
        <v>0</v>
      </c>
      <c r="M50" s="438">
        <f t="shared" si="49"/>
        <v>0</v>
      </c>
      <c r="N50" s="438">
        <f t="shared" si="50"/>
        <v>0</v>
      </c>
      <c r="O50" s="689">
        <f t="shared" si="51"/>
        <v>0</v>
      </c>
      <c r="Q50" s="6">
        <f>MSD_Det!K83</f>
        <v>85.294800416522023</v>
      </c>
      <c r="R50" s="6">
        <f>MSD_Det!L83</f>
        <v>27.519154228855832</v>
      </c>
      <c r="S50" s="6">
        <f>MSD_Det!M83</f>
        <v>17.560694203401592</v>
      </c>
      <c r="T50" s="6">
        <f>MSD_Det!N83</f>
        <v>95.329482818465777</v>
      </c>
      <c r="U50" s="6">
        <f>MSD_Det!O83</f>
        <v>25.086706004859415</v>
      </c>
      <c r="V50" s="14">
        <f t="shared" si="52"/>
        <v>250.79083767210466</v>
      </c>
      <c r="W50" s="19">
        <f>V50-MSD_Det!P83</f>
        <v>0</v>
      </c>
    </row>
    <row r="51" spans="2:23" x14ac:dyDescent="0.25">
      <c r="B51" t="str">
        <f>STN_5</f>
        <v>SLE</v>
      </c>
      <c r="C51" s="581">
        <f>SUMIFS(Direct_Capex_Composition!BJ$59:BJ$64,Direct_Capex_Composition!$B$59:$B$64,$B51)</f>
        <v>127.94220062478303</v>
      </c>
      <c r="D51" s="581">
        <f>SUMIFS(Direct_Capex_Composition!BK$59:BK$64,Direct_Capex_Composition!$B$59:$B$64,$B51)</f>
        <v>16.511492537313501</v>
      </c>
      <c r="E51" s="581">
        <f>SUMIFS(Direct_Capex_Composition!BL$59:BL$64,Direct_Capex_Composition!$B$59:$B$64,$B51)</f>
        <v>26.341041305102387</v>
      </c>
      <c r="F51" s="581">
        <f>SUMIFS(Direct_Capex_Composition!BM$59:BM$64,Direct_Capex_Composition!$B$59:$B$64,$B51)</f>
        <v>14.299422422769872</v>
      </c>
      <c r="G51" s="581">
        <f>SUMIFS(Direct_Capex_Composition!BN$59:BN$64,Direct_Capex_Composition!$B$59:$B$64,$B51)</f>
        <v>3.7630059007289121</v>
      </c>
      <c r="H51" s="689">
        <f t="shared" si="45"/>
        <v>188.85716279069769</v>
      </c>
      <c r="I51" s="571"/>
      <c r="J51" s="438">
        <f t="shared" si="46"/>
        <v>0</v>
      </c>
      <c r="K51" s="438">
        <f t="shared" si="47"/>
        <v>24.767238805970251</v>
      </c>
      <c r="L51" s="438">
        <f t="shared" si="48"/>
        <v>0</v>
      </c>
      <c r="M51" s="438">
        <f t="shared" si="49"/>
        <v>128.6948018049288</v>
      </c>
      <c r="N51" s="438">
        <f t="shared" si="50"/>
        <v>33.867053106560206</v>
      </c>
      <c r="O51" s="689">
        <f t="shared" si="51"/>
        <v>187.32909371745927</v>
      </c>
      <c r="Q51" s="6">
        <f>SLE_Det!K86</f>
        <v>127.94220062478303</v>
      </c>
      <c r="R51" s="6">
        <f>SLE_Det!L86</f>
        <v>41.278731343283752</v>
      </c>
      <c r="S51" s="6">
        <f>SLE_Det!M86</f>
        <v>26.341041305102387</v>
      </c>
      <c r="T51" s="6">
        <f>SLE_Det!N86</f>
        <v>142.99422422769868</v>
      </c>
      <c r="U51" s="6">
        <f>SLE_Det!O86</f>
        <v>37.63005900728912</v>
      </c>
      <c r="V51" s="14">
        <f t="shared" si="52"/>
        <v>376.18625650815693</v>
      </c>
      <c r="W51" s="19">
        <f>V51-SLE_Det!P86</f>
        <v>0</v>
      </c>
    </row>
    <row r="52" spans="2:23" x14ac:dyDescent="0.25">
      <c r="B52" t="str">
        <f>STN_9</f>
        <v>KLO2</v>
      </c>
      <c r="C52" s="581">
        <f>SUMIFS(Direct_Capex_Composition!BJ$59:BJ$64,Direct_Capex_Composition!$B$59:$B$64,$B52)</f>
        <v>0</v>
      </c>
      <c r="D52" s="581">
        <f>SUMIFS(Direct_Capex_Composition!BK$59:BK$64,Direct_Capex_Composition!$B$59:$B$64,$B52)</f>
        <v>0</v>
      </c>
      <c r="E52" s="581">
        <f>SUMIFS(Direct_Capex_Composition!BL$59:BL$64,Direct_Capex_Composition!$B$59:$B$64,$B52)</f>
        <v>0</v>
      </c>
      <c r="F52" s="581">
        <f>SUMIFS(Direct_Capex_Composition!BM$59:BM$64,Direct_Capex_Composition!$B$59:$B$64,$B52)</f>
        <v>0</v>
      </c>
      <c r="G52" s="581">
        <f>SUMIFS(Direct_Capex_Composition!BN$59:BN$64,Direct_Capex_Composition!$B$59:$B$64,$B52)</f>
        <v>0</v>
      </c>
      <c r="H52" s="689">
        <f t="shared" si="45"/>
        <v>0</v>
      </c>
      <c r="I52" s="571"/>
      <c r="J52" s="438">
        <f t="shared" si="46"/>
        <v>0</v>
      </c>
      <c r="K52" s="438">
        <f t="shared" si="47"/>
        <v>0</v>
      </c>
      <c r="L52" s="438">
        <f t="shared" si="48"/>
        <v>0</v>
      </c>
      <c r="M52" s="438">
        <f t="shared" si="49"/>
        <v>0</v>
      </c>
      <c r="N52" s="438">
        <f t="shared" si="50"/>
        <v>0</v>
      </c>
      <c r="O52" s="689">
        <f t="shared" si="51"/>
        <v>0</v>
      </c>
      <c r="Q52" s="6"/>
      <c r="R52" s="6"/>
      <c r="S52" s="6"/>
      <c r="T52" s="6"/>
      <c r="U52" s="6"/>
      <c r="V52" s="14">
        <f t="shared" si="52"/>
        <v>0</v>
      </c>
      <c r="W52" s="19"/>
    </row>
    <row r="53" spans="2:23" x14ac:dyDescent="0.25">
      <c r="B53" t="s">
        <v>6</v>
      </c>
      <c r="C53" s="602">
        <f t="shared" ref="C53:H53" si="53">SUM(C47:C52)</f>
        <v>533.09250260326257</v>
      </c>
      <c r="D53" s="602">
        <f t="shared" si="53"/>
        <v>85.309378109453093</v>
      </c>
      <c r="E53" s="602">
        <f t="shared" si="53"/>
        <v>109.75433877125997</v>
      </c>
      <c r="F53" s="602">
        <f t="shared" si="53"/>
        <v>145.37746129816034</v>
      </c>
      <c r="G53" s="602">
        <f t="shared" si="53"/>
        <v>37.630059007289127</v>
      </c>
      <c r="H53" s="602">
        <f t="shared" si="53"/>
        <v>911.16373978942511</v>
      </c>
      <c r="I53" s="471"/>
      <c r="J53" s="602">
        <f t="shared" ref="J53:O53" si="54">SUM(J47:J52)</f>
        <v>0</v>
      </c>
      <c r="K53" s="602">
        <f t="shared" si="54"/>
        <v>86.685335820895887</v>
      </c>
      <c r="L53" s="602">
        <f t="shared" si="54"/>
        <v>0</v>
      </c>
      <c r="M53" s="602">
        <f t="shared" si="54"/>
        <v>450.43180631725079</v>
      </c>
      <c r="N53" s="602">
        <f t="shared" si="54"/>
        <v>119.16185352308221</v>
      </c>
      <c r="O53" s="690">
        <f t="shared" si="54"/>
        <v>656.27899566122892</v>
      </c>
      <c r="Q53" s="21">
        <f t="shared" ref="Q53:V53" si="55">SUM(Q47:Q52)</f>
        <v>533.09250260326257</v>
      </c>
      <c r="R53" s="21">
        <f t="shared" si="55"/>
        <v>171.99471393034895</v>
      </c>
      <c r="S53" s="21">
        <f t="shared" si="55"/>
        <v>109.75433877125997</v>
      </c>
      <c r="T53" s="21">
        <f t="shared" si="55"/>
        <v>595.80926761541104</v>
      </c>
      <c r="U53" s="21">
        <f t="shared" si="55"/>
        <v>156.79191253037135</v>
      </c>
      <c r="V53" s="12">
        <f t="shared" si="55"/>
        <v>1567.4427354506538</v>
      </c>
      <c r="W53" s="390"/>
    </row>
    <row r="54" spans="2:23" x14ac:dyDescent="0.25">
      <c r="B54" s="53"/>
      <c r="C54" s="603"/>
      <c r="D54" s="603"/>
      <c r="E54" s="603"/>
      <c r="F54" s="603"/>
      <c r="G54" s="603"/>
      <c r="H54" s="691"/>
      <c r="I54" s="603"/>
      <c r="J54" s="471"/>
      <c r="K54" s="277"/>
      <c r="L54" s="471"/>
      <c r="M54" s="471"/>
      <c r="N54" s="471"/>
      <c r="O54" s="692"/>
      <c r="Q54" s="159"/>
      <c r="R54" s="159"/>
      <c r="S54" s="159"/>
      <c r="T54" s="159"/>
      <c r="U54" s="159"/>
      <c r="V54" s="159"/>
    </row>
    <row r="55" spans="2:23" x14ac:dyDescent="0.25">
      <c r="C55" s="471"/>
      <c r="D55" s="471"/>
      <c r="E55" s="471"/>
      <c r="F55" s="471"/>
      <c r="G55" s="471"/>
      <c r="H55" s="692"/>
      <c r="I55" s="471"/>
      <c r="J55" s="471"/>
      <c r="K55" s="471"/>
      <c r="L55" s="471"/>
      <c r="M55" s="471"/>
      <c r="N55" s="471"/>
      <c r="O55" s="692"/>
    </row>
    <row r="56" spans="2:23" x14ac:dyDescent="0.25">
      <c r="B56" s="25" t="s">
        <v>598</v>
      </c>
      <c r="C56" s="777" t="s">
        <v>567</v>
      </c>
      <c r="D56" s="777"/>
      <c r="E56" s="777"/>
      <c r="F56" s="777"/>
      <c r="G56" s="777"/>
      <c r="H56" s="777"/>
      <c r="I56" s="124"/>
      <c r="J56" s="777" t="s">
        <v>568</v>
      </c>
      <c r="K56" s="777"/>
      <c r="L56" s="777"/>
      <c r="M56" s="777"/>
      <c r="N56" s="777"/>
      <c r="O56" s="777"/>
      <c r="Q56" s="778" t="s">
        <v>119</v>
      </c>
      <c r="R56" s="778"/>
      <c r="S56" s="778"/>
      <c r="T56" s="778"/>
      <c r="U56" s="778"/>
      <c r="V56" s="778"/>
    </row>
    <row r="57" spans="2:23" ht="30" x14ac:dyDescent="0.25">
      <c r="C57" s="535" t="s">
        <v>151</v>
      </c>
      <c r="D57" s="535" t="s">
        <v>63</v>
      </c>
      <c r="E57" s="601" t="s">
        <v>152</v>
      </c>
      <c r="F57" s="601" t="s">
        <v>153</v>
      </c>
      <c r="G57" s="535" t="s">
        <v>77</v>
      </c>
      <c r="H57" s="688" t="s">
        <v>154</v>
      </c>
      <c r="I57" s="471"/>
      <c r="J57" s="535" t="s">
        <v>151</v>
      </c>
      <c r="K57" s="535" t="s">
        <v>63</v>
      </c>
      <c r="L57" s="601" t="s">
        <v>152</v>
      </c>
      <c r="M57" s="601" t="s">
        <v>153</v>
      </c>
      <c r="N57" s="535" t="s">
        <v>77</v>
      </c>
      <c r="O57" s="688" t="s">
        <v>154</v>
      </c>
      <c r="Q57" s="163" t="s">
        <v>151</v>
      </c>
      <c r="R57" s="163" t="s">
        <v>63</v>
      </c>
      <c r="S57" s="13" t="s">
        <v>152</v>
      </c>
      <c r="T57" s="13" t="s">
        <v>153</v>
      </c>
      <c r="U57" s="163" t="s">
        <v>77</v>
      </c>
      <c r="V57" s="13" t="s">
        <v>154</v>
      </c>
      <c r="W57" s="13" t="s">
        <v>72</v>
      </c>
    </row>
    <row r="58" spans="2:23" x14ac:dyDescent="0.25">
      <c r="B58" t="str">
        <f>STN_1</f>
        <v>BN</v>
      </c>
      <c r="C58" s="581">
        <f>SUMIFS(Direct_Capex_Composition!BJ$67:BJ$72,Direct_Capex_Composition!$B$67:$B$72,$B58)</f>
        <v>70.752212389380517</v>
      </c>
      <c r="D58" s="581">
        <f>SUMIFS(Direct_Capex_Composition!BK$67:BK$72,Direct_Capex_Composition!$B$67:$B$72,$B58)</f>
        <v>4.6179126654461271</v>
      </c>
      <c r="E58" s="581">
        <f>SUMIFS(Direct_Capex_Composition!BL$67:BL$72,Direct_Capex_Composition!$B$67:$B$72,$B58)</f>
        <v>22.015996283367706</v>
      </c>
      <c r="F58" s="581">
        <f>SUMIFS(Direct_Capex_Composition!BM$67:BM$72,Direct_Capex_Composition!$B$67:$B$72,$B58)</f>
        <v>15.07230541454183</v>
      </c>
      <c r="G58" s="581">
        <f>SUMIFS(Direct_Capex_Composition!BN$67:BN$72,Direct_Capex_Composition!$B$67:$B$72,$B58)</f>
        <v>0</v>
      </c>
      <c r="H58" s="438">
        <f t="shared" ref="H58:H63" si="56">SUM(C58:G58)</f>
        <v>112.45842675273619</v>
      </c>
      <c r="I58" s="571"/>
      <c r="J58" s="438">
        <f t="shared" ref="J58:J63" si="57">Q58-C58</f>
        <v>0</v>
      </c>
      <c r="K58" s="438">
        <f t="shared" ref="K58:K63" si="58">R58-D58</f>
        <v>6.9268689981691907</v>
      </c>
      <c r="L58" s="438">
        <f t="shared" ref="L58:L63" si="59">S58-E58</f>
        <v>0</v>
      </c>
      <c r="M58" s="438">
        <f t="shared" ref="M58:M63" si="60">T58-F58</f>
        <v>135.65074873087644</v>
      </c>
      <c r="N58" s="438">
        <f t="shared" ref="N58:N63" si="61">U58-G58</f>
        <v>0</v>
      </c>
      <c r="O58" s="438">
        <f t="shared" ref="O58:O63" si="62">SUM(J58:N58)</f>
        <v>142.57761772904564</v>
      </c>
      <c r="Q58" s="38">
        <f>BN_Det!K84</f>
        <v>70.752212389380517</v>
      </c>
      <c r="R58" s="38">
        <f>BN_Det!L84</f>
        <v>11.544781663615318</v>
      </c>
      <c r="S58" s="38">
        <f>BN_Det!M84</f>
        <v>22.015996283367706</v>
      </c>
      <c r="T58" s="38">
        <f>BN_Det!N84</f>
        <v>150.72305414541827</v>
      </c>
      <c r="U58" s="38">
        <f>BN_Det!O84</f>
        <v>0</v>
      </c>
      <c r="V58" s="14">
        <f t="shared" ref="V58:V63" si="63">SUM(Q58:U58)</f>
        <v>255.03604448178183</v>
      </c>
      <c r="W58" s="19">
        <f>V58-BN_Det!P84</f>
        <v>0</v>
      </c>
    </row>
    <row r="59" spans="2:23" x14ac:dyDescent="0.25">
      <c r="B59" t="str">
        <f>STN_2</f>
        <v>KLO</v>
      </c>
      <c r="C59" s="581">
        <f>SUMIFS(Direct_Capex_Composition!BJ$67:BJ$72,Direct_Capex_Composition!$B$67:$B$72,$B59)</f>
        <v>42.451327433628308</v>
      </c>
      <c r="D59" s="581">
        <f>SUMIFS(Direct_Capex_Composition!BK$67:BK$72,Direct_Capex_Composition!$B$67:$B$72,$B59)</f>
        <v>2.7707475992676769</v>
      </c>
      <c r="E59" s="581">
        <f>SUMIFS(Direct_Capex_Composition!BL$67:BL$72,Direct_Capex_Composition!$B$67:$B$72,$B59)</f>
        <v>13.209597770020622</v>
      </c>
      <c r="F59" s="581">
        <f>SUMIFS(Direct_Capex_Composition!BM$67:BM$72,Direct_Capex_Composition!$B$67:$B$72,$B59)</f>
        <v>9.0433832487250996</v>
      </c>
      <c r="G59" s="581">
        <f>SUMIFS(Direct_Capex_Composition!BN$67:BN$72,Direct_Capex_Composition!$B$67:$B$72,$B59)</f>
        <v>0</v>
      </c>
      <c r="H59" s="438">
        <f t="shared" si="56"/>
        <v>67.475056051641701</v>
      </c>
      <c r="I59" s="571"/>
      <c r="J59" s="438">
        <f t="shared" si="57"/>
        <v>0</v>
      </c>
      <c r="K59" s="438">
        <f t="shared" si="58"/>
        <v>4.1561213989015151</v>
      </c>
      <c r="L59" s="438">
        <f t="shared" si="59"/>
        <v>0</v>
      </c>
      <c r="M59" s="438">
        <f t="shared" si="60"/>
        <v>81.390449238525861</v>
      </c>
      <c r="N59" s="438">
        <f t="shared" si="61"/>
        <v>0</v>
      </c>
      <c r="O59" s="438">
        <f t="shared" si="62"/>
        <v>85.546570637427379</v>
      </c>
      <c r="Q59" s="38">
        <f>KLO_Det!K85</f>
        <v>42.451327433628308</v>
      </c>
      <c r="R59" s="38">
        <f>KLO_Det!L85</f>
        <v>6.9268689981691915</v>
      </c>
      <c r="S59" s="38">
        <f>KLO_Det!M85</f>
        <v>13.209597770020622</v>
      </c>
      <c r="T59" s="38">
        <f>KLO_Det!N85</f>
        <v>90.433832487250967</v>
      </c>
      <c r="U59" s="38">
        <f>KLO_Det!O85</f>
        <v>0</v>
      </c>
      <c r="V59" s="14">
        <f t="shared" si="63"/>
        <v>153.02162668906908</v>
      </c>
      <c r="W59" s="11">
        <f>V59-KLO_Det!P85</f>
        <v>0</v>
      </c>
    </row>
    <row r="60" spans="2:23" x14ac:dyDescent="0.25">
      <c r="B60" t="str">
        <f>STN_3</f>
        <v>LLG</v>
      </c>
      <c r="C60" s="581">
        <f>SUMIFS(Direct_Capex_Composition!BJ$67:BJ$72,Direct_Capex_Composition!$B$67:$B$72,$B60)</f>
        <v>14.150442477876103</v>
      </c>
      <c r="D60" s="581">
        <f>SUMIFS(Direct_Capex_Composition!BK$67:BK$72,Direct_Capex_Composition!$B$67:$B$72,$B60)</f>
        <v>0.92358253308922533</v>
      </c>
      <c r="E60" s="581">
        <f>SUMIFS(Direct_Capex_Composition!BL$67:BL$72,Direct_Capex_Composition!$B$67:$B$72,$B60)</f>
        <v>4.403199256673541</v>
      </c>
      <c r="F60" s="581">
        <f>SUMIFS(Direct_Capex_Composition!BM$67:BM$72,Direct_Capex_Composition!$B$67:$B$72,$B60)</f>
        <v>3.0144610829083662</v>
      </c>
      <c r="G60" s="581">
        <f>SUMIFS(Direct_Capex_Composition!BN$67:BN$72,Direct_Capex_Composition!$B$67:$B$72,$B60)</f>
        <v>0</v>
      </c>
      <c r="H60" s="438">
        <f t="shared" si="56"/>
        <v>22.491685350547236</v>
      </c>
      <c r="I60" s="571"/>
      <c r="J60" s="438">
        <f t="shared" si="57"/>
        <v>0</v>
      </c>
      <c r="K60" s="438">
        <f t="shared" si="58"/>
        <v>1.3853737996338382</v>
      </c>
      <c r="L60" s="438">
        <f t="shared" si="59"/>
        <v>0</v>
      </c>
      <c r="M60" s="438">
        <f t="shared" si="60"/>
        <v>27.130149746175292</v>
      </c>
      <c r="N60" s="438">
        <f t="shared" si="61"/>
        <v>0</v>
      </c>
      <c r="O60" s="438">
        <f t="shared" si="62"/>
        <v>28.515523545809131</v>
      </c>
      <c r="Q60" s="38">
        <f>LLG_Det!K83</f>
        <v>14.150442477876103</v>
      </c>
      <c r="R60" s="38">
        <f>LLG_Det!L83</f>
        <v>2.3089563327230636</v>
      </c>
      <c r="S60" s="38">
        <f>LLG_Det!M83</f>
        <v>4.403199256673541</v>
      </c>
      <c r="T60" s="38">
        <f>LLG_Det!N83</f>
        <v>30.144610829083657</v>
      </c>
      <c r="U60" s="38">
        <f>LLG_Det!O83</f>
        <v>0</v>
      </c>
      <c r="V60" s="14">
        <f t="shared" si="63"/>
        <v>51.007208896356367</v>
      </c>
      <c r="W60" s="19">
        <f>V60-LLG_Det!P83</f>
        <v>0</v>
      </c>
    </row>
    <row r="61" spans="2:23" x14ac:dyDescent="0.25">
      <c r="B61" t="str">
        <f>STN_4</f>
        <v>MSD</v>
      </c>
      <c r="C61" s="581">
        <f>SUMIFS(Direct_Capex_Composition!BJ$67:BJ$72,Direct_Capex_Composition!$B$67:$B$72,$B61)</f>
        <v>14.150442477876103</v>
      </c>
      <c r="D61" s="581">
        <f>SUMIFS(Direct_Capex_Composition!BK$67:BK$72,Direct_Capex_Composition!$B$67:$B$72,$B61)</f>
        <v>2.3089563327230636</v>
      </c>
      <c r="E61" s="581">
        <f>SUMIFS(Direct_Capex_Composition!BL$67:BL$72,Direct_Capex_Composition!$B$67:$B$72,$B61)</f>
        <v>4.403199256673541</v>
      </c>
      <c r="F61" s="581">
        <f>SUMIFS(Direct_Capex_Composition!BM$67:BM$72,Direct_Capex_Composition!$B$67:$B$72,$B61)</f>
        <v>30.144610829083657</v>
      </c>
      <c r="G61" s="581">
        <f>SUMIFS(Direct_Capex_Composition!BN$67:BN$72,Direct_Capex_Composition!$B$67:$B$72,$B61)</f>
        <v>0</v>
      </c>
      <c r="H61" s="438">
        <f t="shared" si="56"/>
        <v>51.007208896356367</v>
      </c>
      <c r="I61" s="571"/>
      <c r="J61" s="438">
        <f t="shared" si="57"/>
        <v>0</v>
      </c>
      <c r="K61" s="438">
        <f t="shared" si="58"/>
        <v>0</v>
      </c>
      <c r="L61" s="438">
        <f t="shared" si="59"/>
        <v>0</v>
      </c>
      <c r="M61" s="438">
        <f t="shared" si="60"/>
        <v>0</v>
      </c>
      <c r="N61" s="438">
        <f t="shared" si="61"/>
        <v>0</v>
      </c>
      <c r="O61" s="438">
        <f t="shared" si="62"/>
        <v>0</v>
      </c>
      <c r="Q61" s="38">
        <f>MSD_Det!K82</f>
        <v>14.150442477876103</v>
      </c>
      <c r="R61" s="38">
        <f>MSD_Det!L82</f>
        <v>2.3089563327230636</v>
      </c>
      <c r="S61" s="38">
        <f>MSD_Det!M82</f>
        <v>4.403199256673541</v>
      </c>
      <c r="T61" s="38">
        <f>MSD_Det!N82</f>
        <v>30.144610829083657</v>
      </c>
      <c r="U61" s="38">
        <f>MSD_Det!O82</f>
        <v>0</v>
      </c>
      <c r="V61" s="14">
        <f t="shared" si="63"/>
        <v>51.007208896356367</v>
      </c>
      <c r="W61" s="19">
        <f>V61-MSD_Det!P82</f>
        <v>0</v>
      </c>
    </row>
    <row r="62" spans="2:23" x14ac:dyDescent="0.25">
      <c r="B62" t="str">
        <f>STN_5</f>
        <v>SLE</v>
      </c>
      <c r="C62" s="581">
        <f>SUMIFS(Direct_Capex_Composition!BJ$67:BJ$72,Direct_Capex_Composition!$B$67:$B$72,$B62)</f>
        <v>70.752212389380517</v>
      </c>
      <c r="D62" s="581">
        <f>SUMIFS(Direct_Capex_Composition!BK$67:BK$72,Direct_Capex_Composition!$B$67:$B$72,$B62)</f>
        <v>4.6179126654461271</v>
      </c>
      <c r="E62" s="581">
        <f>SUMIFS(Direct_Capex_Composition!BL$67:BL$72,Direct_Capex_Composition!$B$67:$B$72,$B62)</f>
        <v>22.015996283367706</v>
      </c>
      <c r="F62" s="581">
        <f>SUMIFS(Direct_Capex_Composition!BM$67:BM$72,Direct_Capex_Composition!$B$67:$B$72,$B62)</f>
        <v>15.07230541454183</v>
      </c>
      <c r="G62" s="581">
        <f>SUMIFS(Direct_Capex_Composition!BN$67:BN$72,Direct_Capex_Composition!$B$67:$B$72,$B62)</f>
        <v>0</v>
      </c>
      <c r="H62" s="438">
        <f t="shared" si="56"/>
        <v>112.45842675273619</v>
      </c>
      <c r="I62" s="571"/>
      <c r="J62" s="438">
        <f t="shared" si="57"/>
        <v>0</v>
      </c>
      <c r="K62" s="438">
        <f t="shared" si="58"/>
        <v>6.9268689981691907</v>
      </c>
      <c r="L62" s="438">
        <f t="shared" si="59"/>
        <v>0</v>
      </c>
      <c r="M62" s="438">
        <f t="shared" si="60"/>
        <v>135.65074873087644</v>
      </c>
      <c r="N62" s="438">
        <f t="shared" si="61"/>
        <v>0</v>
      </c>
      <c r="O62" s="438">
        <f t="shared" si="62"/>
        <v>142.57761772904564</v>
      </c>
      <c r="Q62" s="38">
        <f>SLE_Det!K85</f>
        <v>70.752212389380517</v>
      </c>
      <c r="R62" s="38">
        <f>SLE_Det!L85</f>
        <v>11.544781663615318</v>
      </c>
      <c r="S62" s="38">
        <f>SLE_Det!M85</f>
        <v>22.015996283367706</v>
      </c>
      <c r="T62" s="38">
        <f>SLE_Det!N85</f>
        <v>150.72305414541827</v>
      </c>
      <c r="U62" s="38">
        <f>SLE_Det!O85</f>
        <v>0</v>
      </c>
      <c r="V62" s="14">
        <f t="shared" si="63"/>
        <v>255.03604448178183</v>
      </c>
      <c r="W62" s="19">
        <f>V62-SLE_Det!P85</f>
        <v>0</v>
      </c>
    </row>
    <row r="63" spans="2:23" x14ac:dyDescent="0.25">
      <c r="B63" t="str">
        <f>STN_9</f>
        <v>KLO2</v>
      </c>
      <c r="C63" s="581">
        <f>SUMIFS(Direct_Capex_Composition!BJ$67:BJ$72,Direct_Capex_Composition!$B$67:$B$72,$B63)</f>
        <v>0</v>
      </c>
      <c r="D63" s="581">
        <f>SUMIFS(Direct_Capex_Composition!BK$67:BK$72,Direct_Capex_Composition!$B$67:$B$72,$B63)</f>
        <v>0</v>
      </c>
      <c r="E63" s="581">
        <f>SUMIFS(Direct_Capex_Composition!BL$67:BL$72,Direct_Capex_Composition!$B$67:$B$72,$B63)</f>
        <v>0</v>
      </c>
      <c r="F63" s="581">
        <f>SUMIFS(Direct_Capex_Composition!BM$67:BM$72,Direct_Capex_Composition!$B$67:$B$72,$B63)</f>
        <v>0</v>
      </c>
      <c r="G63" s="581">
        <f>SUMIFS(Direct_Capex_Composition!BN$67:BN$72,Direct_Capex_Composition!$B$67:$B$72,$B63)</f>
        <v>0</v>
      </c>
      <c r="H63" s="438">
        <f t="shared" si="56"/>
        <v>0</v>
      </c>
      <c r="I63" s="571"/>
      <c r="J63" s="438">
        <f t="shared" si="57"/>
        <v>0</v>
      </c>
      <c r="K63" s="438">
        <f t="shared" si="58"/>
        <v>0</v>
      </c>
      <c r="L63" s="438">
        <f t="shared" si="59"/>
        <v>0</v>
      </c>
      <c r="M63" s="438">
        <f t="shared" si="60"/>
        <v>0</v>
      </c>
      <c r="N63" s="438">
        <f t="shared" si="61"/>
        <v>0</v>
      </c>
      <c r="O63" s="438">
        <f t="shared" si="62"/>
        <v>0</v>
      </c>
      <c r="Q63" s="38"/>
      <c r="R63" s="38"/>
      <c r="S63" s="38"/>
      <c r="T63" s="38"/>
      <c r="U63" s="38"/>
      <c r="V63" s="14">
        <f t="shared" si="63"/>
        <v>0</v>
      </c>
      <c r="W63" s="19"/>
    </row>
    <row r="64" spans="2:23" x14ac:dyDescent="0.25">
      <c r="B64" t="s">
        <v>6</v>
      </c>
      <c r="C64" s="602">
        <f t="shared" ref="C64:H64" si="64">SUM(C58:C63)</f>
        <v>212.25663716814154</v>
      </c>
      <c r="D64" s="602">
        <f t="shared" si="64"/>
        <v>15.239111795972221</v>
      </c>
      <c r="E64" s="602">
        <f t="shared" si="64"/>
        <v>66.04798885010311</v>
      </c>
      <c r="F64" s="602">
        <f t="shared" si="64"/>
        <v>72.347065989800782</v>
      </c>
      <c r="G64" s="602">
        <f t="shared" si="64"/>
        <v>0</v>
      </c>
      <c r="H64" s="602">
        <f t="shared" si="64"/>
        <v>365.89080380401765</v>
      </c>
      <c r="I64" s="471"/>
      <c r="J64" s="605">
        <f t="shared" ref="J64:O64" si="65">SUM(J58:J63)</f>
        <v>0</v>
      </c>
      <c r="K64" s="605">
        <f t="shared" si="65"/>
        <v>19.395233194873732</v>
      </c>
      <c r="L64" s="605">
        <f t="shared" si="65"/>
        <v>0</v>
      </c>
      <c r="M64" s="605">
        <f t="shared" si="65"/>
        <v>379.82209644645405</v>
      </c>
      <c r="N64" s="605">
        <f t="shared" si="65"/>
        <v>0</v>
      </c>
      <c r="O64" s="602">
        <f t="shared" si="65"/>
        <v>399.21732964132781</v>
      </c>
      <c r="Q64" s="21">
        <f t="shared" ref="Q64:V64" si="66">SUM(Q58:Q63)</f>
        <v>212.25663716814154</v>
      </c>
      <c r="R64" s="21">
        <f t="shared" si="66"/>
        <v>34.634344990845953</v>
      </c>
      <c r="S64" s="21">
        <f t="shared" si="66"/>
        <v>66.04798885010311</v>
      </c>
      <c r="T64" s="21">
        <f t="shared" si="66"/>
        <v>452.16916243625485</v>
      </c>
      <c r="U64" s="21">
        <f t="shared" si="66"/>
        <v>0</v>
      </c>
      <c r="V64" s="21">
        <f t="shared" si="66"/>
        <v>765.1081334453454</v>
      </c>
      <c r="W64" s="389"/>
    </row>
    <row r="65" spans="2:23" x14ac:dyDescent="0.25">
      <c r="B65" s="168"/>
      <c r="C65" s="606"/>
      <c r="D65" s="606"/>
      <c r="E65" s="606"/>
      <c r="F65" s="606"/>
      <c r="G65" s="606"/>
      <c r="H65" s="693"/>
      <c r="I65" s="606"/>
      <c r="J65" s="471"/>
      <c r="K65" s="471"/>
      <c r="L65" s="471"/>
      <c r="M65" s="471"/>
      <c r="N65" s="471"/>
      <c r="O65" s="692"/>
      <c r="Q65" s="46"/>
      <c r="R65" s="46"/>
    </row>
    <row r="66" spans="2:23" x14ac:dyDescent="0.25">
      <c r="C66" s="471"/>
      <c r="D66" s="471"/>
      <c r="E66" s="471"/>
      <c r="F66" s="471"/>
      <c r="G66" s="471"/>
      <c r="H66" s="692"/>
      <c r="I66" s="471"/>
      <c r="J66" s="471"/>
      <c r="K66" s="471"/>
      <c r="L66" s="471"/>
      <c r="M66" s="471"/>
      <c r="N66" s="471"/>
      <c r="O66" s="692"/>
    </row>
    <row r="67" spans="2:23" x14ac:dyDescent="0.25">
      <c r="B67" s="25" t="s">
        <v>599</v>
      </c>
      <c r="C67" s="777" t="s">
        <v>567</v>
      </c>
      <c r="D67" s="777"/>
      <c r="E67" s="777"/>
      <c r="F67" s="777"/>
      <c r="G67" s="777"/>
      <c r="H67" s="777"/>
      <c r="I67" s="124"/>
      <c r="J67" s="777" t="s">
        <v>568</v>
      </c>
      <c r="K67" s="777"/>
      <c r="L67" s="777"/>
      <c r="M67" s="777"/>
      <c r="N67" s="777"/>
      <c r="O67" s="777"/>
      <c r="Q67" s="778" t="s">
        <v>119</v>
      </c>
      <c r="R67" s="778"/>
      <c r="S67" s="778"/>
      <c r="T67" s="778"/>
      <c r="U67" s="778"/>
      <c r="V67" s="778"/>
    </row>
    <row r="68" spans="2:23" ht="30" x14ac:dyDescent="0.25">
      <c r="C68" s="535" t="s">
        <v>151</v>
      </c>
      <c r="D68" s="535" t="s">
        <v>63</v>
      </c>
      <c r="E68" s="601" t="s">
        <v>152</v>
      </c>
      <c r="F68" s="601" t="s">
        <v>153</v>
      </c>
      <c r="G68" s="535" t="s">
        <v>77</v>
      </c>
      <c r="H68" s="688" t="s">
        <v>154</v>
      </c>
      <c r="I68" s="471"/>
      <c r="J68" s="535" t="s">
        <v>151</v>
      </c>
      <c r="K68" s="535" t="s">
        <v>63</v>
      </c>
      <c r="L68" s="601" t="s">
        <v>152</v>
      </c>
      <c r="M68" s="601" t="s">
        <v>153</v>
      </c>
      <c r="N68" s="535" t="s">
        <v>77</v>
      </c>
      <c r="O68" s="688" t="s">
        <v>154</v>
      </c>
      <c r="P68" s="276"/>
      <c r="Q68" s="163" t="s">
        <v>151</v>
      </c>
      <c r="R68" s="163" t="s">
        <v>63</v>
      </c>
      <c r="S68" s="13" t="s">
        <v>152</v>
      </c>
      <c r="T68" s="13" t="s">
        <v>153</v>
      </c>
      <c r="U68" s="163" t="s">
        <v>77</v>
      </c>
      <c r="V68" s="13" t="s">
        <v>154</v>
      </c>
      <c r="W68" s="13" t="s">
        <v>72</v>
      </c>
    </row>
    <row r="69" spans="2:23" x14ac:dyDescent="0.25">
      <c r="B69" t="str">
        <f>STN_1</f>
        <v>BN</v>
      </c>
      <c r="C69" s="581">
        <f>SUMIFS(Direct_Capex_Composition!BJ$75:BJ$80,Direct_Capex_Composition!$B$75:$B$80,$B69)</f>
        <v>0</v>
      </c>
      <c r="D69" s="581">
        <f>SUMIFS(Direct_Capex_Composition!BK$75:BK$80,Direct_Capex_Composition!$B$75:$B$80,$B69)</f>
        <v>0</v>
      </c>
      <c r="E69" s="581">
        <f>SUMIFS(Direct_Capex_Composition!BL$75:BL$80,Direct_Capex_Composition!$B$75:$B$80,$B69)</f>
        <v>0</v>
      </c>
      <c r="F69" s="581">
        <f>SUMIFS(Direct_Capex_Composition!BM$75:BM$80,Direct_Capex_Composition!$B$75:$B$80,$B69)</f>
        <v>0</v>
      </c>
      <c r="G69" s="581">
        <f>SUMIFS(Direct_Capex_Composition!BN$75:BN$80,Direct_Capex_Composition!$B$75:$B$80,$B69)</f>
        <v>0</v>
      </c>
      <c r="H69" s="438">
        <f t="shared" ref="H69:H74" si="67">SUM(C69:G69)</f>
        <v>0</v>
      </c>
      <c r="I69" s="471"/>
      <c r="J69" s="438">
        <f t="shared" ref="J69:J74" si="68">Q69-C69</f>
        <v>0</v>
      </c>
      <c r="K69" s="438">
        <f t="shared" ref="K69:K74" si="69">R69-D69</f>
        <v>0</v>
      </c>
      <c r="L69" s="438">
        <f t="shared" ref="L69:L74" si="70">S69-E69</f>
        <v>0</v>
      </c>
      <c r="M69" s="438">
        <f t="shared" ref="M69:M74" si="71">T69-F69</f>
        <v>0</v>
      </c>
      <c r="N69" s="438">
        <f t="shared" ref="N69:N74" si="72">U69-G69</f>
        <v>0</v>
      </c>
      <c r="O69" s="438">
        <f t="shared" ref="O69:O74" si="73">SUM(J69:N69)</f>
        <v>0</v>
      </c>
      <c r="P69" s="6"/>
      <c r="Q69" s="38">
        <f>BN_Det!K86+BN_Det!K87</f>
        <v>0</v>
      </c>
      <c r="R69" s="38">
        <f>BN_Det!L86+BN_Det!L87</f>
        <v>0</v>
      </c>
      <c r="S69" s="38">
        <f>BN_Det!M86+BN_Det!M87</f>
        <v>0</v>
      </c>
      <c r="T69" s="38">
        <f>BN_Det!N86+BN_Det!N87</f>
        <v>0</v>
      </c>
      <c r="U69" s="38">
        <f>BN_Det!O86+BN_Det!O87</f>
        <v>0</v>
      </c>
      <c r="V69" s="6">
        <f t="shared" ref="V69:V74" si="74">SUM(Q69:U69)</f>
        <v>0</v>
      </c>
      <c r="W69" s="19">
        <f>V69-SUM(BN_Det!P86:P87)</f>
        <v>0</v>
      </c>
    </row>
    <row r="70" spans="2:23" x14ac:dyDescent="0.25">
      <c r="B70" t="str">
        <f>STN_2</f>
        <v>KLO</v>
      </c>
      <c r="C70" s="581">
        <f>SUMIFS(Direct_Capex_Composition!BJ$75:BJ$80,Direct_Capex_Composition!$B$75:$B$80,$B70)</f>
        <v>0</v>
      </c>
      <c r="D70" s="581">
        <f>SUMIFS(Direct_Capex_Composition!BK$75:BK$80,Direct_Capex_Composition!$B$75:$B$80,$B70)</f>
        <v>0</v>
      </c>
      <c r="E70" s="581">
        <f>SUMIFS(Direct_Capex_Composition!BL$75:BL$80,Direct_Capex_Composition!$B$75:$B$80,$B70)</f>
        <v>0</v>
      </c>
      <c r="F70" s="581">
        <f>SUMIFS(Direct_Capex_Composition!BM$75:BM$80,Direct_Capex_Composition!$B$75:$B$80,$B70)</f>
        <v>0</v>
      </c>
      <c r="G70" s="581">
        <f>SUMIFS(Direct_Capex_Composition!BN$75:BN$80,Direct_Capex_Composition!$B$75:$B$80,$B70)</f>
        <v>0</v>
      </c>
      <c r="H70" s="438">
        <f t="shared" si="67"/>
        <v>0</v>
      </c>
      <c r="I70" s="471"/>
      <c r="J70" s="438">
        <f t="shared" si="68"/>
        <v>0</v>
      </c>
      <c r="K70" s="438">
        <f t="shared" si="69"/>
        <v>0</v>
      </c>
      <c r="L70" s="438">
        <f t="shared" si="70"/>
        <v>0</v>
      </c>
      <c r="M70" s="438">
        <f t="shared" si="71"/>
        <v>0</v>
      </c>
      <c r="N70" s="438">
        <f t="shared" si="72"/>
        <v>0</v>
      </c>
      <c r="O70" s="438">
        <f t="shared" si="73"/>
        <v>0</v>
      </c>
      <c r="P70" s="6"/>
      <c r="Q70" s="38">
        <f>KLO_Det!K87+KLO_Det!K88</f>
        <v>0</v>
      </c>
      <c r="R70" s="38">
        <f>KLO_Det!L87+KLO_Det!L88</f>
        <v>0</v>
      </c>
      <c r="S70" s="38">
        <f>KLO_Det!M87+KLO_Det!M88</f>
        <v>0</v>
      </c>
      <c r="T70" s="38">
        <f>KLO_Det!N87+KLO_Det!N88</f>
        <v>0</v>
      </c>
      <c r="U70" s="38">
        <f>KLO_Det!O87+KLO_Det!O88</f>
        <v>0</v>
      </c>
      <c r="V70" s="6">
        <f t="shared" si="74"/>
        <v>0</v>
      </c>
      <c r="W70" s="19">
        <f>V70-SUM(KLO_Det!P87:P88)</f>
        <v>0</v>
      </c>
    </row>
    <row r="71" spans="2:23" x14ac:dyDescent="0.25">
      <c r="B71" t="str">
        <f>STN_3</f>
        <v>LLG</v>
      </c>
      <c r="C71" s="581">
        <f>SUMIFS(Direct_Capex_Composition!BJ$75:BJ$80,Direct_Capex_Composition!$B$75:$B$80,$B71)</f>
        <v>0</v>
      </c>
      <c r="D71" s="581">
        <f>SUMIFS(Direct_Capex_Composition!BK$75:BK$80,Direct_Capex_Composition!$B$75:$B$80,$B71)</f>
        <v>0</v>
      </c>
      <c r="E71" s="581">
        <f>SUMIFS(Direct_Capex_Composition!BL$75:BL$80,Direct_Capex_Composition!$B$75:$B$80,$B71)</f>
        <v>0</v>
      </c>
      <c r="F71" s="581">
        <f>SUMIFS(Direct_Capex_Composition!BM$75:BM$80,Direct_Capex_Composition!$B$75:$B$80,$B71)</f>
        <v>0</v>
      </c>
      <c r="G71" s="581">
        <f>SUMIFS(Direct_Capex_Composition!BN$75:BN$80,Direct_Capex_Composition!$B$75:$B$80,$B71)</f>
        <v>0</v>
      </c>
      <c r="H71" s="438">
        <f t="shared" si="67"/>
        <v>0</v>
      </c>
      <c r="I71" s="471"/>
      <c r="J71" s="438">
        <f t="shared" si="68"/>
        <v>0</v>
      </c>
      <c r="K71" s="438">
        <f t="shared" si="69"/>
        <v>0</v>
      </c>
      <c r="L71" s="438">
        <f t="shared" si="70"/>
        <v>0</v>
      </c>
      <c r="M71" s="438">
        <f t="shared" si="71"/>
        <v>0</v>
      </c>
      <c r="N71" s="438">
        <f t="shared" si="72"/>
        <v>0</v>
      </c>
      <c r="O71" s="438">
        <f t="shared" si="73"/>
        <v>0</v>
      </c>
      <c r="Q71" s="38">
        <f>LLG_Det!K85+LLG_Det!K86</f>
        <v>0</v>
      </c>
      <c r="R71" s="38">
        <f>LLG_Det!L85+LLG_Det!L86</f>
        <v>0</v>
      </c>
      <c r="S71" s="38">
        <f>LLG_Det!M85+LLG_Det!M86</f>
        <v>0</v>
      </c>
      <c r="T71" s="38">
        <f>LLG_Det!N85+LLG_Det!N86</f>
        <v>0</v>
      </c>
      <c r="U71" s="38">
        <f>LLG_Det!O85+LLG_Det!O86</f>
        <v>0</v>
      </c>
      <c r="V71" s="6">
        <f t="shared" si="74"/>
        <v>0</v>
      </c>
      <c r="W71" s="19">
        <f>V71-SUM(LLG_Det!P85:P86)</f>
        <v>0</v>
      </c>
    </row>
    <row r="72" spans="2:23" x14ac:dyDescent="0.25">
      <c r="B72" t="str">
        <f>STN_4</f>
        <v>MSD</v>
      </c>
      <c r="C72" s="581">
        <f>SUMIFS(Direct_Capex_Composition!BJ$75:BJ$80,Direct_Capex_Composition!$B$75:$B$80,$B72)</f>
        <v>0</v>
      </c>
      <c r="D72" s="581">
        <f>SUMIFS(Direct_Capex_Composition!BK$75:BK$80,Direct_Capex_Composition!$B$75:$B$80,$B72)</f>
        <v>0</v>
      </c>
      <c r="E72" s="581">
        <f>SUMIFS(Direct_Capex_Composition!BL$75:BL$80,Direct_Capex_Composition!$B$75:$B$80,$B72)</f>
        <v>0</v>
      </c>
      <c r="F72" s="581">
        <f>SUMIFS(Direct_Capex_Composition!BM$75:BM$80,Direct_Capex_Composition!$B$75:$B$80,$B72)</f>
        <v>0</v>
      </c>
      <c r="G72" s="581">
        <f>SUMIFS(Direct_Capex_Composition!BN$75:BN$80,Direct_Capex_Composition!$B$75:$B$80,$B72)</f>
        <v>0</v>
      </c>
      <c r="H72" s="438">
        <f t="shared" si="67"/>
        <v>0</v>
      </c>
      <c r="I72" s="471"/>
      <c r="J72" s="438">
        <f t="shared" si="68"/>
        <v>0</v>
      </c>
      <c r="K72" s="438">
        <f t="shared" si="69"/>
        <v>0</v>
      </c>
      <c r="L72" s="438">
        <f t="shared" si="70"/>
        <v>0</v>
      </c>
      <c r="M72" s="438">
        <f t="shared" si="71"/>
        <v>0</v>
      </c>
      <c r="N72" s="438">
        <f t="shared" si="72"/>
        <v>0</v>
      </c>
      <c r="O72" s="438">
        <f t="shared" si="73"/>
        <v>0</v>
      </c>
      <c r="Q72" s="38">
        <f>MSD_Det!K84+MSD_Det!K85</f>
        <v>0</v>
      </c>
      <c r="R72" s="38">
        <f>MSD_Det!L84+MSD_Det!L85</f>
        <v>0</v>
      </c>
      <c r="S72" s="38">
        <f>MSD_Det!M84+MSD_Det!M85</f>
        <v>0</v>
      </c>
      <c r="T72" s="38">
        <f>MSD_Det!N84+MSD_Det!N85</f>
        <v>0</v>
      </c>
      <c r="U72" s="38">
        <f>MSD_Det!O84+MSD_Det!O85</f>
        <v>0</v>
      </c>
      <c r="V72" s="6">
        <f t="shared" si="74"/>
        <v>0</v>
      </c>
      <c r="W72" s="19">
        <f>V72-SUM(MSD_Det!P84:P85)</f>
        <v>0</v>
      </c>
    </row>
    <row r="73" spans="2:23" x14ac:dyDescent="0.25">
      <c r="B73" t="str">
        <f>STN_5</f>
        <v>SLE</v>
      </c>
      <c r="C73" s="581">
        <f>SUMIFS(Direct_Capex_Composition!BJ$75:BJ$80,Direct_Capex_Composition!$B$75:$B$80,$B73)</f>
        <v>182.28643631627907</v>
      </c>
      <c r="D73" s="581">
        <f>SUMIFS(Direct_Capex_Composition!BK$75:BK$80,Direct_Capex_Composition!$B$75:$B$80,$B73)</f>
        <v>14.227113620757201</v>
      </c>
      <c r="E73" s="581">
        <f>SUMIFS(Direct_Capex_Composition!BL$75:BL$80,Direct_Capex_Composition!$B$75:$B$80,$B73)</f>
        <v>0</v>
      </c>
      <c r="F73" s="581">
        <f>SUMIFS(Direct_Capex_Composition!BM$75:BM$80,Direct_Capex_Composition!$B$75:$B$80,$B73)</f>
        <v>12.097525790697674</v>
      </c>
      <c r="G73" s="581">
        <f>SUMIFS(Direct_Capex_Composition!BN$75:BN$80,Direct_Capex_Composition!$B$75:$B$80,$B73)</f>
        <v>0</v>
      </c>
      <c r="H73" s="438">
        <f t="shared" si="67"/>
        <v>208.61107572773392</v>
      </c>
      <c r="I73" s="471"/>
      <c r="J73" s="438">
        <f t="shared" si="68"/>
        <v>0</v>
      </c>
      <c r="K73" s="438">
        <f t="shared" si="69"/>
        <v>21.340670431135806</v>
      </c>
      <c r="L73" s="438">
        <f t="shared" si="70"/>
        <v>0</v>
      </c>
      <c r="M73" s="438">
        <f t="shared" si="71"/>
        <v>108.87773211627905</v>
      </c>
      <c r="N73" s="438">
        <f t="shared" si="72"/>
        <v>0</v>
      </c>
      <c r="O73" s="438">
        <f t="shared" si="73"/>
        <v>130.21840254741485</v>
      </c>
      <c r="Q73" s="38">
        <f>SLE_Det!K87+SLE_Det!K88</f>
        <v>182.28643631627907</v>
      </c>
      <c r="R73" s="38">
        <f>SLE_Det!L87+SLE_Det!L88</f>
        <v>35.567784051893007</v>
      </c>
      <c r="S73" s="38">
        <f>SLE_Det!M87+SLE_Det!M88</f>
        <v>0</v>
      </c>
      <c r="T73" s="38">
        <f>SLE_Det!N87+SLE_Det!N88</f>
        <v>120.97525790697672</v>
      </c>
      <c r="U73" s="38">
        <f>SLE_Det!O87+SLE_Det!O88</f>
        <v>0</v>
      </c>
      <c r="V73" s="6">
        <f t="shared" si="74"/>
        <v>338.8294782751488</v>
      </c>
      <c r="W73" s="19">
        <f>V73-SUM(SLE_Det!P87:P88)</f>
        <v>0</v>
      </c>
    </row>
    <row r="74" spans="2:23" x14ac:dyDescent="0.25">
      <c r="B74" t="str">
        <f>STN_9</f>
        <v>KLO2</v>
      </c>
      <c r="C74" s="581">
        <f>SUMIFS(Direct_Capex_Composition!BJ$75:BJ$80,Direct_Capex_Composition!$B$75:$B$80,$B74)</f>
        <v>0</v>
      </c>
      <c r="D74" s="581">
        <f>SUMIFS(Direct_Capex_Composition!BK$75:BK$80,Direct_Capex_Composition!$B$75:$B$80,$B74)</f>
        <v>0</v>
      </c>
      <c r="E74" s="581">
        <f>SUMIFS(Direct_Capex_Composition!BL$75:BL$80,Direct_Capex_Composition!$B$75:$B$80,$B74)</f>
        <v>0</v>
      </c>
      <c r="F74" s="581">
        <f>SUMIFS(Direct_Capex_Composition!BM$75:BM$80,Direct_Capex_Composition!$B$75:$B$80,$B74)</f>
        <v>0</v>
      </c>
      <c r="G74" s="581">
        <f>SUMIFS(Direct_Capex_Composition!BN$75:BN$80,Direct_Capex_Composition!$B$75:$B$80,$B74)</f>
        <v>0</v>
      </c>
      <c r="H74" s="438">
        <f t="shared" si="67"/>
        <v>0</v>
      </c>
      <c r="I74" s="471"/>
      <c r="J74" s="438">
        <f t="shared" si="68"/>
        <v>0</v>
      </c>
      <c r="K74" s="438">
        <f t="shared" si="69"/>
        <v>0</v>
      </c>
      <c r="L74" s="438">
        <f t="shared" si="70"/>
        <v>0</v>
      </c>
      <c r="M74" s="438">
        <f t="shared" si="71"/>
        <v>0</v>
      </c>
      <c r="N74" s="438">
        <f t="shared" si="72"/>
        <v>0</v>
      </c>
      <c r="O74" s="438">
        <f t="shared" si="73"/>
        <v>0</v>
      </c>
      <c r="Q74" s="38"/>
      <c r="R74" s="38"/>
      <c r="S74" s="38"/>
      <c r="T74" s="38"/>
      <c r="U74" s="38"/>
      <c r="V74" s="6">
        <f t="shared" si="74"/>
        <v>0</v>
      </c>
      <c r="W74" s="19"/>
    </row>
    <row r="75" spans="2:23" x14ac:dyDescent="0.25">
      <c r="B75" t="s">
        <v>6</v>
      </c>
      <c r="C75" s="602">
        <f t="shared" ref="C75:H75" si="75">SUM(C69:C74)</f>
        <v>182.28643631627907</v>
      </c>
      <c r="D75" s="602">
        <f t="shared" si="75"/>
        <v>14.227113620757201</v>
      </c>
      <c r="E75" s="602">
        <f t="shared" si="75"/>
        <v>0</v>
      </c>
      <c r="F75" s="602">
        <f t="shared" si="75"/>
        <v>12.097525790697674</v>
      </c>
      <c r="G75" s="602">
        <f t="shared" si="75"/>
        <v>0</v>
      </c>
      <c r="H75" s="602">
        <f t="shared" si="75"/>
        <v>208.61107572773392</v>
      </c>
      <c r="I75" s="471"/>
      <c r="J75" s="602">
        <f t="shared" ref="J75:O75" si="76">SUM(J69:J74)</f>
        <v>0</v>
      </c>
      <c r="K75" s="602">
        <f t="shared" si="76"/>
        <v>21.340670431135806</v>
      </c>
      <c r="L75" s="602">
        <f t="shared" si="76"/>
        <v>0</v>
      </c>
      <c r="M75" s="602">
        <f t="shared" si="76"/>
        <v>108.87773211627905</v>
      </c>
      <c r="N75" s="602">
        <f t="shared" si="76"/>
        <v>0</v>
      </c>
      <c r="O75" s="602">
        <f t="shared" si="76"/>
        <v>130.21840254741485</v>
      </c>
      <c r="Q75" s="21">
        <f t="shared" ref="Q75:V75" si="77">SUM(Q69:Q74)</f>
        <v>182.28643631627907</v>
      </c>
      <c r="R75" s="21">
        <f t="shared" si="77"/>
        <v>35.567784051893007</v>
      </c>
      <c r="S75" s="21">
        <f t="shared" si="77"/>
        <v>0</v>
      </c>
      <c r="T75" s="21">
        <f t="shared" si="77"/>
        <v>120.97525790697672</v>
      </c>
      <c r="U75" s="21">
        <f t="shared" si="77"/>
        <v>0</v>
      </c>
      <c r="V75" s="21">
        <f t="shared" si="77"/>
        <v>338.8294782751488</v>
      </c>
      <c r="W75" s="389"/>
    </row>
    <row r="76" spans="2:23" x14ac:dyDescent="0.25">
      <c r="B76" s="53"/>
      <c r="C76" s="603"/>
      <c r="D76" s="603"/>
      <c r="E76" s="603"/>
      <c r="F76" s="603"/>
      <c r="G76" s="603"/>
      <c r="H76" s="691"/>
      <c r="I76" s="603"/>
      <c r="J76" s="471"/>
      <c r="K76" s="471"/>
      <c r="L76" s="471"/>
      <c r="M76" s="471"/>
      <c r="N76" s="471"/>
      <c r="O76" s="692"/>
      <c r="Q76" s="46"/>
      <c r="R76" s="46"/>
      <c r="S76" s="46"/>
      <c r="T76" s="46"/>
      <c r="U76" s="46"/>
      <c r="V76" s="46"/>
    </row>
    <row r="77" spans="2:23" x14ac:dyDescent="0.25">
      <c r="C77" s="471"/>
      <c r="D77" s="471"/>
      <c r="E77" s="471"/>
      <c r="F77" s="471"/>
      <c r="G77" s="471"/>
      <c r="H77" s="692"/>
      <c r="I77" s="471"/>
      <c r="J77" s="471"/>
      <c r="K77" s="471"/>
      <c r="L77" s="471"/>
      <c r="M77" s="471"/>
      <c r="N77" s="471"/>
      <c r="O77" s="692"/>
      <c r="Q77" s="202"/>
      <c r="R77" s="202"/>
      <c r="S77" s="202"/>
      <c r="T77" s="202"/>
      <c r="U77" s="202"/>
      <c r="V77" s="202"/>
    </row>
    <row r="78" spans="2:23" x14ac:dyDescent="0.25">
      <c r="B78" s="25" t="s">
        <v>600</v>
      </c>
      <c r="C78" s="777" t="s">
        <v>567</v>
      </c>
      <c r="D78" s="777"/>
      <c r="E78" s="777"/>
      <c r="F78" s="777"/>
      <c r="G78" s="777"/>
      <c r="H78" s="777"/>
      <c r="I78" s="124"/>
      <c r="J78" s="777" t="s">
        <v>568</v>
      </c>
      <c r="K78" s="777"/>
      <c r="L78" s="777"/>
      <c r="M78" s="777"/>
      <c r="N78" s="777"/>
      <c r="O78" s="777"/>
      <c r="Q78" s="778" t="s">
        <v>119</v>
      </c>
      <c r="R78" s="778"/>
      <c r="S78" s="778"/>
      <c r="T78" s="778"/>
      <c r="U78" s="778"/>
      <c r="V78" s="778"/>
    </row>
    <row r="79" spans="2:23" ht="30" x14ac:dyDescent="0.25">
      <c r="C79" s="535" t="s">
        <v>151</v>
      </c>
      <c r="D79" s="535" t="s">
        <v>63</v>
      </c>
      <c r="E79" s="601" t="s">
        <v>152</v>
      </c>
      <c r="F79" s="601" t="s">
        <v>153</v>
      </c>
      <c r="G79" s="535" t="s">
        <v>77</v>
      </c>
      <c r="H79" s="688" t="s">
        <v>154</v>
      </c>
      <c r="I79" s="471"/>
      <c r="J79" s="535" t="s">
        <v>151</v>
      </c>
      <c r="K79" s="535" t="s">
        <v>63</v>
      </c>
      <c r="L79" s="601" t="s">
        <v>152</v>
      </c>
      <c r="M79" s="601" t="s">
        <v>153</v>
      </c>
      <c r="N79" s="535" t="s">
        <v>77</v>
      </c>
      <c r="O79" s="688" t="s">
        <v>154</v>
      </c>
      <c r="Q79" s="163" t="s">
        <v>151</v>
      </c>
      <c r="R79" s="163" t="s">
        <v>63</v>
      </c>
      <c r="S79" s="13" t="s">
        <v>152</v>
      </c>
      <c r="T79" s="13" t="s">
        <v>153</v>
      </c>
      <c r="U79" s="163" t="s">
        <v>77</v>
      </c>
      <c r="V79" s="13" t="s">
        <v>154</v>
      </c>
      <c r="W79" s="13" t="s">
        <v>72</v>
      </c>
    </row>
    <row r="80" spans="2:23" x14ac:dyDescent="0.25">
      <c r="B80" t="str">
        <f>STN_1</f>
        <v>BN</v>
      </c>
      <c r="C80" s="581">
        <f>SUMIFS(Direct_Capex_Composition!BJ$83:BJ$88,Direct_Capex_Composition!$B$83:$B$88,$B80)</f>
        <v>61.771702694825947</v>
      </c>
      <c r="D80" s="581">
        <f>SUMIFS(Direct_Capex_Composition!BK$83:BK$88,Direct_Capex_Composition!$B$83:$B$88,$B80)</f>
        <v>7.8216296075489744</v>
      </c>
      <c r="E80" s="581">
        <f>SUMIFS(Direct_Capex_Composition!BL$83:BL$88,Direct_Capex_Composition!$B$83:$B$88,$B80)</f>
        <v>12.419924783703831</v>
      </c>
      <c r="F80" s="581">
        <f>SUMIFS(Direct_Capex_Composition!BM$83:BM$88,Direct_Capex_Composition!$B$83:$B$88,$B80)</f>
        <v>6.7067593832000654</v>
      </c>
      <c r="G80" s="581">
        <f>SUMIFS(Direct_Capex_Composition!BN$83:BN$88,Direct_Capex_Composition!$B$83:$B$88,$B80)</f>
        <v>1.8113506805249715</v>
      </c>
      <c r="H80" s="438">
        <f t="shared" ref="H80:H85" si="78">SUM(C80:G80)</f>
        <v>90.531367149803785</v>
      </c>
      <c r="I80" s="571"/>
      <c r="J80" s="438">
        <f t="shared" ref="J80:J85" si="79">Q80-C80</f>
        <v>0</v>
      </c>
      <c r="K80" s="438">
        <f t="shared" ref="K80:K85" si="80">R80-D80</f>
        <v>11.732444411323463</v>
      </c>
      <c r="L80" s="438">
        <f t="shared" ref="L80:L85" si="81">S80-E80</f>
        <v>0</v>
      </c>
      <c r="M80" s="438">
        <f t="shared" ref="M80:M85" si="82">T80-F80</f>
        <v>60.360834448800588</v>
      </c>
      <c r="N80" s="438">
        <f t="shared" ref="N80:N85" si="83">U80-G80</f>
        <v>16.302156124724743</v>
      </c>
      <c r="O80" s="438">
        <f t="shared" ref="O80:O85" si="84">SUM(J80:N80)</f>
        <v>88.395434984848805</v>
      </c>
      <c r="Q80" s="6">
        <f>SUM(BN_Det!K89:K92)</f>
        <v>61.771702694825947</v>
      </c>
      <c r="R80" s="6">
        <f>SUM(BN_Det!L89:L92)</f>
        <v>19.554074018872438</v>
      </c>
      <c r="S80" s="6">
        <f>SUM(BN_Det!M89:M92)</f>
        <v>12.419924783703831</v>
      </c>
      <c r="T80" s="6">
        <f>SUM(BN_Det!N89:N92)</f>
        <v>67.067593832000654</v>
      </c>
      <c r="U80" s="6">
        <f>SUM(BN_Det!O89:O92)</f>
        <v>18.113506805249713</v>
      </c>
      <c r="V80" s="6">
        <f t="shared" ref="V80:V85" si="85">SUM(Q80:U80)</f>
        <v>178.92680213465258</v>
      </c>
      <c r="W80" s="19">
        <f>V80-SUM(BN_Det!P89:P92)</f>
        <v>0</v>
      </c>
    </row>
    <row r="81" spans="2:23" x14ac:dyDescent="0.25">
      <c r="B81" t="str">
        <f>STN_2</f>
        <v>KLO</v>
      </c>
      <c r="C81" s="581">
        <f>SUMIFS(Direct_Capex_Composition!BJ$83:BJ$88,Direct_Capex_Composition!$B$83:$B$88,$B81)</f>
        <v>92.657554042238928</v>
      </c>
      <c r="D81" s="581">
        <f>SUMIFS(Direct_Capex_Composition!BK$83:BK$88,Direct_Capex_Composition!$B$83:$B$88,$B81)</f>
        <v>11.732444411323462</v>
      </c>
      <c r="E81" s="581">
        <f>SUMIFS(Direct_Capex_Composition!BL$83:BL$88,Direct_Capex_Composition!$B$83:$B$88,$B81)</f>
        <v>18.629887175555744</v>
      </c>
      <c r="F81" s="581">
        <f>SUMIFS(Direct_Capex_Composition!BM$83:BM$88,Direct_Capex_Composition!$B$83:$B$88,$B81)</f>
        <v>10.060139074800098</v>
      </c>
      <c r="G81" s="581">
        <f>SUMIFS(Direct_Capex_Composition!BN$83:BN$88,Direct_Capex_Composition!$B$83:$B$88,$B81)</f>
        <v>0</v>
      </c>
      <c r="H81" s="438">
        <f t="shared" si="78"/>
        <v>133.08002470391824</v>
      </c>
      <c r="I81" s="571"/>
      <c r="J81" s="438">
        <f t="shared" si="79"/>
        <v>0</v>
      </c>
      <c r="K81" s="438">
        <f t="shared" si="80"/>
        <v>17.598666616985192</v>
      </c>
      <c r="L81" s="438">
        <f t="shared" si="81"/>
        <v>0</v>
      </c>
      <c r="M81" s="438">
        <f t="shared" si="82"/>
        <v>90.54125167320089</v>
      </c>
      <c r="N81" s="438">
        <f t="shared" si="83"/>
        <v>27.17026020787457</v>
      </c>
      <c r="O81" s="438">
        <f t="shared" si="84"/>
        <v>135.31017849806065</v>
      </c>
      <c r="Q81" s="6">
        <f>SUM(KLO_Det!K90:K93)</f>
        <v>92.657554042238928</v>
      </c>
      <c r="R81" s="6">
        <f>SUM(KLO_Det!L90:L93)</f>
        <v>29.331111028308651</v>
      </c>
      <c r="S81" s="6">
        <f>SUM(KLO_Det!M90:M93)</f>
        <v>18.629887175555744</v>
      </c>
      <c r="T81" s="6">
        <f>SUM(KLO_Det!N90:N93)</f>
        <v>100.60139074800098</v>
      </c>
      <c r="U81" s="6">
        <f>SUM(KLO_Det!O90:O93)</f>
        <v>27.17026020787457</v>
      </c>
      <c r="V81" s="6">
        <f t="shared" si="85"/>
        <v>268.39020320197886</v>
      </c>
      <c r="W81" s="19">
        <f>V81-SUM(KLO_Det!P90:P93)</f>
        <v>0</v>
      </c>
    </row>
    <row r="82" spans="2:23" x14ac:dyDescent="0.25">
      <c r="B82" t="str">
        <f>STN_3</f>
        <v>LLG</v>
      </c>
      <c r="C82" s="581">
        <f>SUMIFS(Direct_Capex_Composition!BJ$83:BJ$88,Direct_Capex_Composition!$B$83:$B$88,$B82)</f>
        <v>30.885851347412974</v>
      </c>
      <c r="D82" s="581">
        <f>SUMIFS(Direct_Capex_Composition!BK$83:BK$88,Direct_Capex_Composition!$B$83:$B$88,$B82)</f>
        <v>3.9108148037744872</v>
      </c>
      <c r="E82" s="581">
        <f>SUMIFS(Direct_Capex_Composition!BL$83:BL$88,Direct_Capex_Composition!$B$83:$B$88,$B82)</f>
        <v>6.2099623918519153</v>
      </c>
      <c r="F82" s="581">
        <f>SUMIFS(Direct_Capex_Composition!BM$83:BM$88,Direct_Capex_Composition!$B$83:$B$88,$B82)</f>
        <v>3.3533796916000327</v>
      </c>
      <c r="G82" s="581">
        <f>SUMIFS(Direct_Capex_Composition!BN$83:BN$88,Direct_Capex_Composition!$B$83:$B$88,$B82)</f>
        <v>0.90567534026248575</v>
      </c>
      <c r="H82" s="438">
        <f t="shared" si="78"/>
        <v>45.265683574901892</v>
      </c>
      <c r="I82" s="571"/>
      <c r="J82" s="438">
        <f t="shared" si="79"/>
        <v>0</v>
      </c>
      <c r="K82" s="438">
        <f t="shared" si="80"/>
        <v>5.8662222056617317</v>
      </c>
      <c r="L82" s="438">
        <f t="shared" si="81"/>
        <v>0</v>
      </c>
      <c r="M82" s="438">
        <f t="shared" si="82"/>
        <v>30.180417224400294</v>
      </c>
      <c r="N82" s="438">
        <f t="shared" si="83"/>
        <v>8.1510780623623713</v>
      </c>
      <c r="O82" s="438">
        <f t="shared" si="84"/>
        <v>44.197717492424403</v>
      </c>
      <c r="Q82" s="6">
        <f>SUM(LLG_Det!K88:K91)</f>
        <v>30.885851347412974</v>
      </c>
      <c r="R82" s="6">
        <f>SUM(LLG_Det!L88:L91)</f>
        <v>9.7770370094362189</v>
      </c>
      <c r="S82" s="6">
        <f>SUM(LLG_Det!M88:M91)</f>
        <v>6.2099623918519153</v>
      </c>
      <c r="T82" s="6">
        <f>SUM(LLG_Det!N88:N91)</f>
        <v>33.533796916000327</v>
      </c>
      <c r="U82" s="6">
        <f>SUM(LLG_Det!O88:O91)</f>
        <v>9.0567534026248566</v>
      </c>
      <c r="V82" s="6">
        <f t="shared" si="85"/>
        <v>89.463401067326288</v>
      </c>
      <c r="W82" s="19">
        <f>V82-SUM(LLG_Det!P88:P91)</f>
        <v>0</v>
      </c>
    </row>
    <row r="83" spans="2:23" x14ac:dyDescent="0.25">
      <c r="B83" t="str">
        <f>STN_4</f>
        <v>MSD</v>
      </c>
      <c r="C83" s="581">
        <f>SUMIFS(Direct_Capex_Composition!BJ$83:BJ$88,Direct_Capex_Composition!$B$83:$B$88,$B83)</f>
        <v>0</v>
      </c>
      <c r="D83" s="581">
        <f>SUMIFS(Direct_Capex_Composition!BK$83:BK$88,Direct_Capex_Composition!$B$83:$B$88,$B83)</f>
        <v>0</v>
      </c>
      <c r="E83" s="581">
        <f>SUMIFS(Direct_Capex_Composition!BL$83:BL$88,Direct_Capex_Composition!$B$83:$B$88,$B83)</f>
        <v>0</v>
      </c>
      <c r="F83" s="581">
        <f>SUMIFS(Direct_Capex_Composition!BM$83:BM$88,Direct_Capex_Composition!$B$83:$B$88,$B83)</f>
        <v>0</v>
      </c>
      <c r="G83" s="581">
        <f>SUMIFS(Direct_Capex_Composition!BN$83:BN$88,Direct_Capex_Composition!$B$83:$B$88,$B83)</f>
        <v>0</v>
      </c>
      <c r="H83" s="438">
        <f t="shared" si="78"/>
        <v>0</v>
      </c>
      <c r="I83" s="571"/>
      <c r="J83" s="438">
        <f t="shared" si="79"/>
        <v>0</v>
      </c>
      <c r="K83" s="438">
        <f t="shared" si="80"/>
        <v>0</v>
      </c>
      <c r="L83" s="438">
        <f t="shared" si="81"/>
        <v>0</v>
      </c>
      <c r="M83" s="438">
        <f t="shared" si="82"/>
        <v>0</v>
      </c>
      <c r="N83" s="438">
        <f t="shared" si="83"/>
        <v>0</v>
      </c>
      <c r="O83" s="438">
        <f t="shared" si="84"/>
        <v>0</v>
      </c>
      <c r="Q83" s="6">
        <f>SUM(MSD_Det!K87:K90)</f>
        <v>0</v>
      </c>
      <c r="R83" s="6">
        <f>SUM(MSD_Det!L87:L90)</f>
        <v>0</v>
      </c>
      <c r="S83" s="6">
        <f>SUM(MSD_Det!M87:M90)</f>
        <v>0</v>
      </c>
      <c r="T83" s="6">
        <f>SUM(MSD_Det!N87:N90)</f>
        <v>0</v>
      </c>
      <c r="U83" s="6">
        <f>SUM(MSD_Det!O87:O90)</f>
        <v>0</v>
      </c>
      <c r="V83" s="6">
        <f t="shared" si="85"/>
        <v>0</v>
      </c>
      <c r="W83" s="19">
        <f>V83-SUM(MSD_Det!P87:P90)</f>
        <v>0</v>
      </c>
    </row>
    <row r="84" spans="2:23" x14ac:dyDescent="0.25">
      <c r="B84" t="str">
        <f>STN_5</f>
        <v>SLE</v>
      </c>
      <c r="C84" s="581">
        <f>SUMIFS(Direct_Capex_Composition!BJ$83:BJ$88,Direct_Capex_Composition!$B$83:$B$88,$B84)</f>
        <v>30.885851347412974</v>
      </c>
      <c r="D84" s="581">
        <f>SUMIFS(Direct_Capex_Composition!BK$83:BK$88,Direct_Capex_Composition!$B$83:$B$88,$B84)</f>
        <v>3.9108148037744872</v>
      </c>
      <c r="E84" s="581">
        <f>SUMIFS(Direct_Capex_Composition!BL$83:BL$88,Direct_Capex_Composition!$B$83:$B$88,$B84)</f>
        <v>6.2099623918519153</v>
      </c>
      <c r="F84" s="581">
        <f>SUMIFS(Direct_Capex_Composition!BM$83:BM$88,Direct_Capex_Composition!$B$83:$B$88,$B84)</f>
        <v>3.3533796916000327</v>
      </c>
      <c r="G84" s="581">
        <f>SUMIFS(Direct_Capex_Composition!BN$83:BN$88,Direct_Capex_Composition!$B$83:$B$88,$B84)</f>
        <v>0.90567534026248575</v>
      </c>
      <c r="H84" s="438">
        <f t="shared" si="78"/>
        <v>45.265683574901892</v>
      </c>
      <c r="I84" s="571"/>
      <c r="J84" s="438">
        <f t="shared" si="79"/>
        <v>0</v>
      </c>
      <c r="K84" s="438">
        <f t="shared" si="80"/>
        <v>5.8662222056617317</v>
      </c>
      <c r="L84" s="438">
        <f t="shared" si="81"/>
        <v>0</v>
      </c>
      <c r="M84" s="438">
        <f t="shared" si="82"/>
        <v>30.180417224400294</v>
      </c>
      <c r="N84" s="438">
        <f t="shared" si="83"/>
        <v>8.1510780623623713</v>
      </c>
      <c r="O84" s="438">
        <f t="shared" si="84"/>
        <v>44.197717492424403</v>
      </c>
      <c r="Q84" s="6">
        <f>SUM(SLE_Det!K90:K93)</f>
        <v>30.885851347412974</v>
      </c>
      <c r="R84" s="6">
        <f>SUM(SLE_Det!L90:L93)</f>
        <v>9.7770370094362189</v>
      </c>
      <c r="S84" s="6">
        <f>SUM(SLE_Det!M90:M93)</f>
        <v>6.2099623918519153</v>
      </c>
      <c r="T84" s="6">
        <f>SUM(SLE_Det!N90:N93)</f>
        <v>33.533796916000327</v>
      </c>
      <c r="U84" s="6">
        <f>SUM(SLE_Det!O90:O93)</f>
        <v>9.0567534026248566</v>
      </c>
      <c r="V84" s="6">
        <f t="shared" si="85"/>
        <v>89.463401067326288</v>
      </c>
      <c r="W84" s="19">
        <f>V84-SUM(SLE_Det!P90:P93)</f>
        <v>0</v>
      </c>
    </row>
    <row r="85" spans="2:23" x14ac:dyDescent="0.25">
      <c r="B85" t="str">
        <f>STN_9</f>
        <v>KLO2</v>
      </c>
      <c r="C85" s="581">
        <f>SUMIFS(Direct_Capex_Composition!BJ$83:BJ$88,Direct_Capex_Composition!$B$83:$B$88,$B85)</f>
        <v>0</v>
      </c>
      <c r="D85" s="581">
        <f>SUMIFS(Direct_Capex_Composition!BK$83:BK$88,Direct_Capex_Composition!$B$83:$B$88,$B85)</f>
        <v>0</v>
      </c>
      <c r="E85" s="581">
        <f>SUMIFS(Direct_Capex_Composition!BL$83:BL$88,Direct_Capex_Composition!$B$83:$B$88,$B85)</f>
        <v>0</v>
      </c>
      <c r="F85" s="581">
        <f>SUMIFS(Direct_Capex_Composition!BM$83:BM$88,Direct_Capex_Composition!$B$83:$B$88,$B85)</f>
        <v>0</v>
      </c>
      <c r="G85" s="581">
        <f>SUMIFS(Direct_Capex_Composition!BN$83:BN$88,Direct_Capex_Composition!$B$83:$B$88,$B85)</f>
        <v>0</v>
      </c>
      <c r="H85" s="438">
        <f t="shared" si="78"/>
        <v>0</v>
      </c>
      <c r="I85" s="571"/>
      <c r="J85" s="438">
        <f t="shared" si="79"/>
        <v>0</v>
      </c>
      <c r="K85" s="438">
        <f t="shared" si="80"/>
        <v>0</v>
      </c>
      <c r="L85" s="438">
        <f t="shared" si="81"/>
        <v>0</v>
      </c>
      <c r="M85" s="438">
        <f t="shared" si="82"/>
        <v>0</v>
      </c>
      <c r="N85" s="438">
        <f t="shared" si="83"/>
        <v>0</v>
      </c>
      <c r="O85" s="438">
        <f t="shared" si="84"/>
        <v>0</v>
      </c>
      <c r="Q85" s="6"/>
      <c r="R85" s="6"/>
      <c r="S85" s="6"/>
      <c r="T85" s="6"/>
      <c r="U85" s="6"/>
      <c r="V85" s="6">
        <f t="shared" si="85"/>
        <v>0</v>
      </c>
      <c r="W85" s="19"/>
    </row>
    <row r="86" spans="2:23" x14ac:dyDescent="0.25">
      <c r="B86" t="s">
        <v>6</v>
      </c>
      <c r="C86" s="602">
        <f t="shared" ref="C86:H86" si="86">SUM(C80:C85)</f>
        <v>216.20095943189079</v>
      </c>
      <c r="D86" s="602">
        <f t="shared" si="86"/>
        <v>27.375703626421405</v>
      </c>
      <c r="E86" s="602">
        <f t="shared" si="86"/>
        <v>43.469736742963406</v>
      </c>
      <c r="F86" s="602">
        <f t="shared" si="86"/>
        <v>23.473657841200229</v>
      </c>
      <c r="G86" s="602">
        <f t="shared" si="86"/>
        <v>3.622701361049943</v>
      </c>
      <c r="H86" s="602">
        <f t="shared" si="86"/>
        <v>314.14275900352584</v>
      </c>
      <c r="I86" s="471"/>
      <c r="J86" s="602">
        <f t="shared" ref="J86:O86" si="87">SUM(J80:J85)</f>
        <v>0</v>
      </c>
      <c r="K86" s="602">
        <f t="shared" si="87"/>
        <v>41.063555439632111</v>
      </c>
      <c r="L86" s="602">
        <f t="shared" si="87"/>
        <v>0</v>
      </c>
      <c r="M86" s="602">
        <f t="shared" si="87"/>
        <v>211.26292057080207</v>
      </c>
      <c r="N86" s="602">
        <f t="shared" si="87"/>
        <v>59.774572457324055</v>
      </c>
      <c r="O86" s="602">
        <f t="shared" si="87"/>
        <v>312.10104846775823</v>
      </c>
      <c r="Q86" s="21">
        <f t="shared" ref="Q86:V86" si="88">SUM(Q80:Q85)</f>
        <v>216.20095943189079</v>
      </c>
      <c r="R86" s="21">
        <f t="shared" si="88"/>
        <v>68.439259066053523</v>
      </c>
      <c r="S86" s="21">
        <f t="shared" si="88"/>
        <v>43.469736742963406</v>
      </c>
      <c r="T86" s="21">
        <f t="shared" si="88"/>
        <v>234.73657841200225</v>
      </c>
      <c r="U86" s="21">
        <f t="shared" si="88"/>
        <v>63.397273818373996</v>
      </c>
      <c r="V86" s="21">
        <f t="shared" si="88"/>
        <v>626.24380747128407</v>
      </c>
      <c r="W86" s="389"/>
    </row>
    <row r="87" spans="2:23" x14ac:dyDescent="0.25">
      <c r="C87" s="471"/>
      <c r="D87" s="471"/>
      <c r="E87" s="471"/>
      <c r="F87" s="471"/>
      <c r="G87" s="471"/>
      <c r="H87" s="692"/>
      <c r="I87" s="471"/>
      <c r="J87" s="471"/>
      <c r="K87" s="471"/>
      <c r="L87" s="471"/>
      <c r="M87" s="471"/>
      <c r="N87" s="471"/>
      <c r="O87" s="692"/>
      <c r="Q87" s="160"/>
      <c r="R87" s="160"/>
      <c r="S87" s="160"/>
      <c r="T87" s="160"/>
      <c r="U87" s="160"/>
      <c r="V87" s="160"/>
    </row>
    <row r="88" spans="2:23" x14ac:dyDescent="0.25">
      <c r="C88" s="471"/>
      <c r="D88" s="471"/>
      <c r="E88" s="471"/>
      <c r="F88" s="471"/>
      <c r="G88" s="471"/>
      <c r="H88" s="692"/>
      <c r="I88" s="471"/>
      <c r="J88" s="471"/>
      <c r="K88" s="471"/>
      <c r="L88" s="471"/>
      <c r="M88" s="471"/>
      <c r="N88" s="471"/>
      <c r="O88" s="692"/>
      <c r="Q88" s="373"/>
      <c r="R88" s="373"/>
      <c r="S88" s="373"/>
      <c r="T88" s="373"/>
      <c r="U88" s="373"/>
    </row>
    <row r="89" spans="2:23" x14ac:dyDescent="0.25">
      <c r="B89" s="25" t="s">
        <v>601</v>
      </c>
      <c r="C89" s="777" t="s">
        <v>567</v>
      </c>
      <c r="D89" s="777"/>
      <c r="E89" s="777"/>
      <c r="F89" s="777"/>
      <c r="G89" s="777"/>
      <c r="H89" s="777"/>
      <c r="I89" s="124"/>
      <c r="J89" s="777" t="s">
        <v>568</v>
      </c>
      <c r="K89" s="777"/>
      <c r="L89" s="777"/>
      <c r="M89" s="777"/>
      <c r="N89" s="777"/>
      <c r="O89" s="777"/>
      <c r="Q89" s="778" t="s">
        <v>119</v>
      </c>
      <c r="R89" s="778"/>
      <c r="S89" s="778"/>
      <c r="T89" s="778"/>
      <c r="U89" s="778"/>
      <c r="V89" s="778"/>
    </row>
    <row r="90" spans="2:23" ht="30" x14ac:dyDescent="0.25">
      <c r="C90" s="535" t="s">
        <v>151</v>
      </c>
      <c r="D90" s="535" t="s">
        <v>63</v>
      </c>
      <c r="E90" s="601" t="s">
        <v>152</v>
      </c>
      <c r="F90" s="601" t="s">
        <v>153</v>
      </c>
      <c r="G90" s="535" t="s">
        <v>77</v>
      </c>
      <c r="H90" s="688" t="s">
        <v>154</v>
      </c>
      <c r="I90" s="471"/>
      <c r="J90" s="535" t="s">
        <v>151</v>
      </c>
      <c r="K90" s="535" t="s">
        <v>63</v>
      </c>
      <c r="L90" s="601" t="s">
        <v>152</v>
      </c>
      <c r="M90" s="601" t="s">
        <v>153</v>
      </c>
      <c r="N90" s="535" t="s">
        <v>77</v>
      </c>
      <c r="O90" s="688" t="s">
        <v>154</v>
      </c>
      <c r="Q90" s="163" t="s">
        <v>151</v>
      </c>
      <c r="R90" s="163" t="s">
        <v>63</v>
      </c>
      <c r="S90" s="13" t="s">
        <v>152</v>
      </c>
      <c r="T90" s="13" t="s">
        <v>153</v>
      </c>
      <c r="U90" s="163" t="s">
        <v>77</v>
      </c>
      <c r="V90" s="13" t="s">
        <v>154</v>
      </c>
    </row>
    <row r="91" spans="2:23" x14ac:dyDescent="0.25">
      <c r="B91" t="s">
        <v>137</v>
      </c>
      <c r="C91" s="571">
        <v>134.42920353982299</v>
      </c>
      <c r="D91" s="571">
        <v>34.498928366182653</v>
      </c>
      <c r="E91" s="607">
        <v>22.015996283367706</v>
      </c>
      <c r="F91" s="571">
        <v>70.035991761811104</v>
      </c>
      <c r="G91" s="571">
        <v>0</v>
      </c>
      <c r="H91" s="438">
        <f t="shared" ref="H91:H103" si="89">SUM(C91:G91)</f>
        <v>260.98011995118446</v>
      </c>
      <c r="I91" s="471"/>
      <c r="J91" s="607">
        <v>1908.8946902654864</v>
      </c>
      <c r="K91" s="607">
        <v>489.88478279979364</v>
      </c>
      <c r="L91" s="607">
        <v>312.6271472238214</v>
      </c>
      <c r="M91" s="607">
        <v>994.51108301771762</v>
      </c>
      <c r="N91" s="607">
        <v>0</v>
      </c>
      <c r="O91" s="571">
        <f t="shared" ref="O91:O100" si="90">SUM(J91:N91)</f>
        <v>3705.917703306819</v>
      </c>
      <c r="Q91" s="38">
        <v>2043.3238938053094</v>
      </c>
      <c r="R91" s="38">
        <v>524.38371116597625</v>
      </c>
      <c r="S91" s="38">
        <v>334.64314350718911</v>
      </c>
      <c r="T91" s="38">
        <v>1064.5470747795287</v>
      </c>
      <c r="U91" s="38">
        <v>0</v>
      </c>
      <c r="V91" s="6">
        <f>SUM(Q91:U91)</f>
        <v>3966.897823258003</v>
      </c>
      <c r="W91" s="176"/>
    </row>
    <row r="92" spans="2:23" x14ac:dyDescent="0.25">
      <c r="B92" t="s">
        <v>532</v>
      </c>
      <c r="C92" s="571">
        <f>SUM(Other_Capex!D26:H26)</f>
        <v>0</v>
      </c>
      <c r="D92" s="571">
        <v>0</v>
      </c>
      <c r="E92" s="571">
        <v>0</v>
      </c>
      <c r="F92" s="571">
        <v>0</v>
      </c>
      <c r="G92" s="571">
        <v>0</v>
      </c>
      <c r="H92" s="438">
        <f t="shared" si="89"/>
        <v>0</v>
      </c>
      <c r="I92" s="471"/>
      <c r="J92" s="607">
        <f>Other_Capex!O26</f>
        <v>74.600368324125228</v>
      </c>
      <c r="K92" s="571">
        <v>0</v>
      </c>
      <c r="L92" s="571">
        <v>0</v>
      </c>
      <c r="M92" s="571">
        <v>0</v>
      </c>
      <c r="N92" s="571">
        <v>0</v>
      </c>
      <c r="O92" s="571">
        <f t="shared" si="90"/>
        <v>74.600368324125228</v>
      </c>
      <c r="Q92" s="38">
        <f>Other_Capex!L26</f>
        <v>74.600368324125228</v>
      </c>
      <c r="R92" s="38"/>
      <c r="S92" s="38"/>
      <c r="T92" s="38"/>
      <c r="U92" s="38"/>
      <c r="V92" s="6">
        <f>SUM(Q92:U92)</f>
        <v>74.600368324125228</v>
      </c>
      <c r="W92" s="176"/>
    </row>
    <row r="93" spans="2:23" s="46" customFormat="1" x14ac:dyDescent="0.25">
      <c r="B93" s="46" t="s">
        <v>673</v>
      </c>
      <c r="C93" s="607">
        <v>70.948285164013214</v>
      </c>
      <c r="D93" s="607">
        <v>18.397545418163698</v>
      </c>
      <c r="E93" s="607">
        <v>17.586745615047878</v>
      </c>
      <c r="F93" s="607">
        <v>107.9539630674002</v>
      </c>
      <c r="G93" s="607">
        <v>12.543353002429708</v>
      </c>
      <c r="H93" s="581">
        <f t="shared" si="89"/>
        <v>227.4298922670547</v>
      </c>
      <c r="I93" s="445"/>
      <c r="J93" s="607">
        <v>354.74142582006607</v>
      </c>
      <c r="K93" s="607">
        <v>91.987727090818495</v>
      </c>
      <c r="L93" s="607">
        <v>87.933728075239387</v>
      </c>
      <c r="M93" s="607">
        <v>539.76981533700098</v>
      </c>
      <c r="N93" s="607">
        <v>62.716765012148542</v>
      </c>
      <c r="O93" s="607">
        <f t="shared" si="90"/>
        <v>1137.1494613352734</v>
      </c>
      <c r="Q93" s="38">
        <v>425.68971098407928</v>
      </c>
      <c r="R93" s="38">
        <v>110.38527250898218</v>
      </c>
      <c r="S93" s="38">
        <v>105.52047369028728</v>
      </c>
      <c r="T93" s="38">
        <v>647.72377840440117</v>
      </c>
      <c r="U93" s="38">
        <v>75.260118014578239</v>
      </c>
      <c r="V93" s="38">
        <f>SUM(Q93:U93)</f>
        <v>1364.5793536023282</v>
      </c>
      <c r="W93" s="177"/>
    </row>
    <row r="94" spans="2:23" x14ac:dyDescent="0.25">
      <c r="B94" t="s">
        <v>533</v>
      </c>
      <c r="C94" s="571">
        <v>0</v>
      </c>
      <c r="D94" s="571">
        <v>0</v>
      </c>
      <c r="E94" s="571">
        <v>0</v>
      </c>
      <c r="F94" s="571">
        <f>SUM(Other_Capex!D27:H27)</f>
        <v>0</v>
      </c>
      <c r="G94" s="571">
        <v>0</v>
      </c>
      <c r="H94" s="438">
        <f t="shared" si="89"/>
        <v>0</v>
      </c>
      <c r="I94" s="471"/>
      <c r="J94" s="607">
        <v>0</v>
      </c>
      <c r="K94" s="571">
        <v>0</v>
      </c>
      <c r="L94" s="571">
        <v>0</v>
      </c>
      <c r="M94" s="571">
        <f>Other_Capex!O27</f>
        <v>228.5471483844355</v>
      </c>
      <c r="N94" s="571">
        <v>0</v>
      </c>
      <c r="O94" s="571">
        <f t="shared" si="90"/>
        <v>228.5471483844355</v>
      </c>
      <c r="Q94" s="38"/>
      <c r="R94" s="38"/>
      <c r="S94" s="38"/>
      <c r="T94" s="38">
        <f>Other_Capex!L27</f>
        <v>228.5471483844355</v>
      </c>
      <c r="U94" s="38"/>
      <c r="V94" s="6">
        <f>SUM(Q94:U94)</f>
        <v>228.5471483844355</v>
      </c>
      <c r="W94" s="176"/>
    </row>
    <row r="95" spans="2:23" x14ac:dyDescent="0.25">
      <c r="B95" t="s">
        <v>122</v>
      </c>
      <c r="C95" s="571">
        <f>SUMPRODUCT(Unit_Rates!I117:I119,Other_Capex!$N$15:$N$17)</f>
        <v>0</v>
      </c>
      <c r="D95" s="571">
        <f>SUMPRODUCT(Unit_Rates!J117:J119,Other_Capex!$N$15:$N$17)</f>
        <v>0</v>
      </c>
      <c r="E95" s="571">
        <f>SUMPRODUCT(Unit_Rates!K117:K119,Other_Capex!$N$15:$N$17)</f>
        <v>0</v>
      </c>
      <c r="F95" s="571">
        <f>SUMPRODUCT(Unit_Rates!L117:L119,Other_Capex!$N$15:$N$17)</f>
        <v>0</v>
      </c>
      <c r="G95" s="571">
        <f>SUMPRODUCT(Unit_Rates!M117:M119,Other_Capex!$N$15:$N$17)</f>
        <v>0</v>
      </c>
      <c r="H95" s="438">
        <f t="shared" si="89"/>
        <v>0</v>
      </c>
      <c r="I95" s="471"/>
      <c r="J95" s="571">
        <f>SUMPRODUCT(Unit_Rates!I117:I119,Other_Capex!$O$15:$O$17)</f>
        <v>0</v>
      </c>
      <c r="K95" s="571">
        <f>SUMPRODUCT(Unit_Rates!J117:J119,Other_Capex!$O$15:$O$17)</f>
        <v>0</v>
      </c>
      <c r="L95" s="571">
        <f>SUMPRODUCT(Unit_Rates!K117:K119,Other_Capex!$O$15:$O$17)</f>
        <v>0</v>
      </c>
      <c r="M95" s="571">
        <f>SUMPRODUCT(Unit_Rates!L117:L119,Other_Capex!$O$15:$O$17)</f>
        <v>0</v>
      </c>
      <c r="N95" s="571">
        <f>SUMPRODUCT(Unit_Rates!M117:M119,Other_Capex!$O$15:$O$17)</f>
        <v>0</v>
      </c>
      <c r="O95" s="571">
        <f t="shared" si="90"/>
        <v>0</v>
      </c>
      <c r="Q95" s="38">
        <f>Unit_Rates!I117*Other_Capex!$L$15+Unit_Rates!I118*Other_Capex!$L$16+Unit_Rates!I119*Other_Capex!$L$17</f>
        <v>0</v>
      </c>
      <c r="R95" s="38">
        <f>Unit_Rates!J117*Other_Capex!$L$15+Unit_Rates!J118*Other_Capex!$L$16+Unit_Rates!J119*Other_Capex!$L$17</f>
        <v>0</v>
      </c>
      <c r="S95" s="38">
        <f>Unit_Rates!K117*Other_Capex!$L$15+Unit_Rates!K118*Other_Capex!$L$16+Unit_Rates!K119*Other_Capex!$L$17</f>
        <v>0</v>
      </c>
      <c r="T95" s="38">
        <f>Unit_Rates!L117*Other_Capex!$L$15+Unit_Rates!L118*Other_Capex!$L$16+Unit_Rates!L119*Other_Capex!$L$17</f>
        <v>0</v>
      </c>
      <c r="U95" s="38">
        <f>Unit_Rates!M117*Other_Capex!$L$15+Unit_Rates!M118*Other_Capex!$L$16+Unit_Rates!M119*Other_Capex!$L$17</f>
        <v>0</v>
      </c>
      <c r="V95" s="6">
        <f t="shared" ref="V95:V100" si="91">SUM(Q95:U95)</f>
        <v>0</v>
      </c>
      <c r="W95" s="176"/>
    </row>
    <row r="96" spans="2:23" x14ac:dyDescent="0.25">
      <c r="B96" s="441" t="s">
        <v>534</v>
      </c>
      <c r="C96" s="608"/>
      <c r="D96" s="608"/>
      <c r="E96" s="608">
        <f>Other_Capex!N36+Other_Capex!N37</f>
        <v>0</v>
      </c>
      <c r="F96" s="608"/>
      <c r="G96" s="608"/>
      <c r="H96" s="438">
        <f t="shared" si="89"/>
        <v>0</v>
      </c>
      <c r="I96" s="609"/>
      <c r="J96" s="571"/>
      <c r="K96" s="571"/>
      <c r="L96" s="571">
        <f>Other_Capex!O36+Other_Capex!O37</f>
        <v>0</v>
      </c>
      <c r="M96" s="571"/>
      <c r="N96" s="571"/>
      <c r="O96" s="571">
        <f t="shared" si="90"/>
        <v>0</v>
      </c>
      <c r="Q96" s="38"/>
      <c r="R96" s="38"/>
      <c r="S96" s="38">
        <f>Other_Capex!L36+Other_Capex!L37</f>
        <v>0</v>
      </c>
      <c r="T96" s="38"/>
      <c r="U96" s="38"/>
      <c r="V96" s="6">
        <f>SUM(Q96:U96)</f>
        <v>0</v>
      </c>
      <c r="W96" s="177"/>
    </row>
    <row r="97" spans="2:23" x14ac:dyDescent="0.25">
      <c r="B97" s="441" t="s">
        <v>531</v>
      </c>
      <c r="C97" s="608">
        <f>Other_Capex!N40</f>
        <v>12.735398230088494</v>
      </c>
      <c r="D97" s="608">
        <f>Other_Capex!N41</f>
        <v>8.2797428078838333</v>
      </c>
      <c r="E97" s="608">
        <v>0</v>
      </c>
      <c r="F97" s="608">
        <f>Other_Capex!N42</f>
        <v>20.639996515657224</v>
      </c>
      <c r="G97" s="608">
        <v>0</v>
      </c>
      <c r="H97" s="438">
        <f t="shared" si="89"/>
        <v>41.655137553629551</v>
      </c>
      <c r="I97" s="609"/>
      <c r="J97" s="571">
        <f>Other_Capex!O40</f>
        <v>67.922123893805292</v>
      </c>
      <c r="K97" s="571">
        <f>Other_Capex!O41</f>
        <v>44.15862830871378</v>
      </c>
      <c r="L97" s="571">
        <v>0</v>
      </c>
      <c r="M97" s="571">
        <f>Other_Capex!O42</f>
        <v>110.07998141683854</v>
      </c>
      <c r="N97" s="571">
        <v>0</v>
      </c>
      <c r="O97" s="571">
        <f t="shared" si="90"/>
        <v>222.16073361935761</v>
      </c>
      <c r="Q97" s="38">
        <f>Other_Capex!L40</f>
        <v>80.657522123893784</v>
      </c>
      <c r="R97" s="38">
        <f>Other_Capex!L41</f>
        <v>52.438371116597615</v>
      </c>
      <c r="S97" s="38"/>
      <c r="T97" s="38">
        <f>Other_Capex!L42</f>
        <v>130.71997793249577</v>
      </c>
      <c r="U97" s="38"/>
      <c r="V97" s="6">
        <f>SUM(Q97:U97)</f>
        <v>263.81587117298716</v>
      </c>
      <c r="W97" s="472"/>
    </row>
    <row r="98" spans="2:23" x14ac:dyDescent="0.25">
      <c r="B98" s="651" t="s">
        <v>139</v>
      </c>
      <c r="C98" s="652">
        <v>0</v>
      </c>
      <c r="D98" s="652">
        <v>0</v>
      </c>
      <c r="E98" s="652">
        <v>0</v>
      </c>
      <c r="F98" s="652">
        <v>0</v>
      </c>
      <c r="G98" s="652">
        <v>0</v>
      </c>
      <c r="H98" s="652">
        <f t="shared" si="89"/>
        <v>0</v>
      </c>
      <c r="I98" s="653"/>
      <c r="J98" s="654"/>
      <c r="K98" s="654">
        <v>0</v>
      </c>
      <c r="L98" s="654"/>
      <c r="M98" s="654">
        <v>0</v>
      </c>
      <c r="N98" s="654"/>
      <c r="O98" s="654">
        <f t="shared" si="90"/>
        <v>0</v>
      </c>
      <c r="P98" s="651"/>
      <c r="Q98" s="655">
        <v>0</v>
      </c>
      <c r="R98" s="655">
        <v>0</v>
      </c>
      <c r="S98" s="655">
        <v>0</v>
      </c>
      <c r="T98" s="655">
        <v>0</v>
      </c>
      <c r="U98" s="655">
        <v>0</v>
      </c>
      <c r="V98" s="655">
        <f t="shared" si="91"/>
        <v>0</v>
      </c>
      <c r="W98" s="177"/>
    </row>
    <row r="99" spans="2:23" x14ac:dyDescent="0.25">
      <c r="B99" t="s">
        <v>656</v>
      </c>
      <c r="C99" s="438">
        <v>0</v>
      </c>
      <c r="D99" s="438">
        <f>Other_Capex!N30</f>
        <v>134.0015113983718</v>
      </c>
      <c r="E99" s="438">
        <v>0</v>
      </c>
      <c r="F99" s="438">
        <f>Other_Capex!N31</f>
        <v>39.090597345132736</v>
      </c>
      <c r="G99" s="438">
        <v>0</v>
      </c>
      <c r="H99" s="438">
        <f t="shared" si="89"/>
        <v>173.09210874350453</v>
      </c>
      <c r="I99" s="471"/>
      <c r="J99" s="571"/>
      <c r="K99" s="571">
        <f>Other_Capex!O30</f>
        <v>0</v>
      </c>
      <c r="L99" s="571"/>
      <c r="M99" s="571">
        <f>Other_Capex!O31</f>
        <v>0</v>
      </c>
      <c r="N99" s="571"/>
      <c r="O99" s="571">
        <f t="shared" si="90"/>
        <v>0</v>
      </c>
      <c r="Q99" s="38"/>
      <c r="R99" s="38">
        <f>Other_Capex!L30</f>
        <v>134.0015113983718</v>
      </c>
      <c r="S99" s="38"/>
      <c r="T99" s="38">
        <f>Other_Capex!L31</f>
        <v>39.090597345132736</v>
      </c>
      <c r="U99" s="38"/>
      <c r="V99" s="6">
        <f t="shared" si="91"/>
        <v>173.09210874350453</v>
      </c>
      <c r="W99" s="177"/>
    </row>
    <row r="100" spans="2:23" x14ac:dyDescent="0.25">
      <c r="B100" s="46" t="s">
        <v>449</v>
      </c>
      <c r="C100" s="607">
        <f>SUMPRODUCT(Unit_Rates!I76:I77,Other_Capex!$N$20:$N$21)</f>
        <v>0</v>
      </c>
      <c r="D100" s="607">
        <f>SUMPRODUCT(Unit_Rates!J76:J77,Other_Capex!$N$20:$N$21)+Other_Capex!N45</f>
        <v>0</v>
      </c>
      <c r="E100" s="607">
        <f>SUMPRODUCT(Unit_Rates!K76:K77,Other_Capex!$N$20:$N$21)</f>
        <v>0</v>
      </c>
      <c r="F100" s="607">
        <f>SUMPRODUCT(Unit_Rates!L76:L77,Other_Capex!$N$20:$N$21)</f>
        <v>0</v>
      </c>
      <c r="G100" s="607">
        <f>SUMPRODUCT(Unit_Rates!M76:M77,Other_Capex!$N$20:$N$21)</f>
        <v>0</v>
      </c>
      <c r="H100" s="438">
        <f t="shared" si="89"/>
        <v>0</v>
      </c>
      <c r="I100" s="445"/>
      <c r="J100" s="607">
        <f>SUMPRODUCT(Unit_Rates!I76:I77,Other_Capex!$O$20:$O$21)</f>
        <v>0</v>
      </c>
      <c r="K100" s="607">
        <f>SUMPRODUCT(Unit_Rates!J76:J77,Other_Capex!$O$20:$O$21)+Other_Capex!O45</f>
        <v>0</v>
      </c>
      <c r="L100" s="607">
        <f>SUMPRODUCT(Unit_Rates!K76:K77,Other_Capex!$O$20:$O$21)</f>
        <v>0</v>
      </c>
      <c r="M100" s="607">
        <f>SUMPRODUCT(Unit_Rates!L76:L77,Other_Capex!$O$20:$O$21)</f>
        <v>0</v>
      </c>
      <c r="N100" s="607">
        <f>SUMPRODUCT(Unit_Rates!M76:M77,Other_Capex!$O$20:$O$21)</f>
        <v>0</v>
      </c>
      <c r="O100" s="571">
        <f t="shared" si="90"/>
        <v>0</v>
      </c>
      <c r="Q100" s="38">
        <f>Unit_Rates!E76*Other_Capex!L20+Unit_Rates!E77*Other_Capex!L21</f>
        <v>0</v>
      </c>
      <c r="R100" s="38">
        <f>Other_Capex!L45</f>
        <v>0</v>
      </c>
      <c r="S100" s="38"/>
      <c r="T100" s="38"/>
      <c r="U100" s="38"/>
      <c r="V100" s="38">
        <f t="shared" si="91"/>
        <v>0</v>
      </c>
      <c r="W100" s="177"/>
    </row>
    <row r="101" spans="2:23" x14ac:dyDescent="0.25">
      <c r="B101" s="441" t="s">
        <v>520</v>
      </c>
      <c r="C101" s="608">
        <f>Unit_Rates!I85*SUM(Other_Capex!$D10:$H10)</f>
        <v>0</v>
      </c>
      <c r="D101" s="608">
        <f>Unit_Rates!J85*SUM(Other_Capex!$D10:$H10)</f>
        <v>0</v>
      </c>
      <c r="E101" s="608">
        <f>Unit_Rates!K85*SUM(Other_Capex!$D10:$H10)</f>
        <v>0</v>
      </c>
      <c r="F101" s="608">
        <f>Unit_Rates!L85*SUM(Other_Capex!$D10:$H10)</f>
        <v>0</v>
      </c>
      <c r="G101" s="608">
        <f>Unit_Rates!M85*SUM(Other_Capex!$D10:$H10)</f>
        <v>0</v>
      </c>
      <c r="H101" s="438">
        <f t="shared" si="89"/>
        <v>0</v>
      </c>
      <c r="I101" s="609"/>
      <c r="J101" s="607">
        <f>Unit_Rates!I85*SUM(Other_Capex!$I10:$K10)</f>
        <v>0</v>
      </c>
      <c r="K101" s="607">
        <f>Unit_Rates!J85*SUM(Other_Capex!$I10:$K10)</f>
        <v>490.79189686924497</v>
      </c>
      <c r="L101" s="607">
        <f>Unit_Rates!K85*SUM(Other_Capex!$I10:$K10)</f>
        <v>0</v>
      </c>
      <c r="M101" s="607">
        <f>Unit_Rates!L85*SUM(Other_Capex!$I10:$K10)</f>
        <v>0</v>
      </c>
      <c r="N101" s="607">
        <f>Unit_Rates!M85*SUM(Other_Capex!$I10:$K10)</f>
        <v>0</v>
      </c>
      <c r="O101" s="571">
        <f>SUM(J101:N101)</f>
        <v>490.79189686924497</v>
      </c>
      <c r="Q101" s="38">
        <f>Unit_Rates!I85*Other_Capex!$L10</f>
        <v>0</v>
      </c>
      <c r="R101" s="38">
        <f>Unit_Rates!J85*Other_Capex!$L10</f>
        <v>490.79189686924497</v>
      </c>
      <c r="S101" s="38">
        <f>Unit_Rates!K85*Other_Capex!$L10</f>
        <v>0</v>
      </c>
      <c r="T101" s="38">
        <f>Unit_Rates!L85*Other_Capex!$L10</f>
        <v>0</v>
      </c>
      <c r="U101" s="38">
        <f>Unit_Rates!M85*Other_Capex!$L10</f>
        <v>0</v>
      </c>
      <c r="V101" s="6">
        <f>SUM(Q101:U101)</f>
        <v>490.79189686924497</v>
      </c>
      <c r="W101" s="176"/>
    </row>
    <row r="102" spans="2:23" x14ac:dyDescent="0.25">
      <c r="B102" s="441" t="s">
        <v>521</v>
      </c>
      <c r="C102" s="608">
        <f>Unit_Rates!I86*SUM(Other_Capex!$D11:$H11)</f>
        <v>0</v>
      </c>
      <c r="D102" s="608">
        <f>Unit_Rates!J86*SUM(Other_Capex!$D11:$H11)</f>
        <v>0</v>
      </c>
      <c r="E102" s="608">
        <f>Unit_Rates!K86*SUM(Other_Capex!$D11:$H11)</f>
        <v>0</v>
      </c>
      <c r="F102" s="608">
        <f>Unit_Rates!L86*SUM(Other_Capex!$D11:$H11)</f>
        <v>0</v>
      </c>
      <c r="G102" s="608">
        <f>Unit_Rates!M86*SUM(Other_Capex!$D11:$H11)</f>
        <v>0</v>
      </c>
      <c r="H102" s="438">
        <f t="shared" si="89"/>
        <v>0</v>
      </c>
      <c r="I102" s="609"/>
      <c r="J102" s="607">
        <f>Unit_Rates!I86*SUM(Other_Capex!$I11:$K11)</f>
        <v>245.39594843462248</v>
      </c>
      <c r="K102" s="607">
        <f>Unit_Rates!J86*SUM(Other_Capex!$I11:$K11)</f>
        <v>0</v>
      </c>
      <c r="L102" s="607">
        <f>Unit_Rates!K86*SUM(Other_Capex!$I11:$K11)</f>
        <v>0</v>
      </c>
      <c r="M102" s="607">
        <f>Unit_Rates!L86*SUM(Other_Capex!$I11:$K11)</f>
        <v>797.53683241252304</v>
      </c>
      <c r="N102" s="607">
        <f>Unit_Rates!M86*SUM(Other_Capex!$I11:$K11)</f>
        <v>0</v>
      </c>
      <c r="O102" s="571">
        <f>SUM(J102:N102)</f>
        <v>1042.9327808471455</v>
      </c>
      <c r="Q102" s="38">
        <f>Unit_Rates!I86*Other_Capex!$L11</f>
        <v>245.39594843462248</v>
      </c>
      <c r="R102" s="38">
        <f>Unit_Rates!J86*Other_Capex!$L11</f>
        <v>0</v>
      </c>
      <c r="S102" s="38">
        <f>Unit_Rates!K86*Other_Capex!$L11</f>
        <v>0</v>
      </c>
      <c r="T102" s="38">
        <f>Unit_Rates!L86*Other_Capex!$L11</f>
        <v>797.53683241252304</v>
      </c>
      <c r="U102" s="38">
        <f>Unit_Rates!M86*Other_Capex!$L11</f>
        <v>0</v>
      </c>
      <c r="V102" s="6">
        <f>SUM(Q102:U102)</f>
        <v>1042.9327808471455</v>
      </c>
      <c r="W102" s="176"/>
    </row>
    <row r="103" spans="2:23" x14ac:dyDescent="0.25">
      <c r="B103" s="441" t="s">
        <v>522</v>
      </c>
      <c r="C103" s="608">
        <f>Unit_Rates!I87*SUM(Other_Capex!$D12:$H12)</f>
        <v>0</v>
      </c>
      <c r="D103" s="608">
        <f>Unit_Rates!J87*SUM(Other_Capex!$D12:$H12)</f>
        <v>0</v>
      </c>
      <c r="E103" s="608">
        <f>Unit_Rates!K87*SUM(Other_Capex!$D12:$H12)</f>
        <v>0</v>
      </c>
      <c r="F103" s="608">
        <f>Unit_Rates!L87*SUM(Other_Capex!$D12:$H12)</f>
        <v>0</v>
      </c>
      <c r="G103" s="608">
        <f>Unit_Rates!M87*SUM(Other_Capex!$D12:$H12)</f>
        <v>0</v>
      </c>
      <c r="H103" s="438">
        <f t="shared" si="89"/>
        <v>0</v>
      </c>
      <c r="I103" s="609"/>
      <c r="J103" s="607">
        <f>Unit_Rates!I87*SUM(Other_Capex!$I12:$K12)</f>
        <v>235.84070796460173</v>
      </c>
      <c r="K103" s="607">
        <f>Unit_Rates!J87*SUM(Other_Capex!$I12:$K12)</f>
        <v>0</v>
      </c>
      <c r="L103" s="607">
        <f>Unit_Rates!K87*SUM(Other_Capex!$I12:$K12)</f>
        <v>0</v>
      </c>
      <c r="M103" s="607">
        <f>Unit_Rates!L87*SUM(Other_Capex!$I12:$K12)</f>
        <v>2293.3329461841363</v>
      </c>
      <c r="N103" s="607">
        <f>Unit_Rates!M87*SUM(Other_Capex!$I12:$K12)</f>
        <v>0</v>
      </c>
      <c r="O103" s="571">
        <f>SUM(J103:N103)</f>
        <v>2529.173654148738</v>
      </c>
      <c r="Q103" s="38">
        <f>Unit_Rates!I87*Other_Capex!$L12</f>
        <v>235.84070796460173</v>
      </c>
      <c r="R103" s="38">
        <f>Unit_Rates!J87*Other_Capex!$L12</f>
        <v>0</v>
      </c>
      <c r="S103" s="38">
        <f>Unit_Rates!K87*Other_Capex!$L12</f>
        <v>0</v>
      </c>
      <c r="T103" s="38">
        <f>Unit_Rates!L87*Other_Capex!$L12</f>
        <v>2293.3329461841363</v>
      </c>
      <c r="U103" s="38">
        <f>Unit_Rates!M87*Other_Capex!$L12</f>
        <v>0</v>
      </c>
      <c r="V103" s="6">
        <f>SUM(Q103:U103)</f>
        <v>2529.173654148738</v>
      </c>
      <c r="W103" s="176"/>
    </row>
    <row r="104" spans="2:23" x14ac:dyDescent="0.25">
      <c r="B104" t="s">
        <v>6</v>
      </c>
      <c r="C104" s="602">
        <f t="shared" ref="C104:H104" si="92">SUM(C91:C103)</f>
        <v>218.1128869339247</v>
      </c>
      <c r="D104" s="602">
        <f t="shared" si="92"/>
        <v>195.17772799060199</v>
      </c>
      <c r="E104" s="602">
        <f t="shared" si="92"/>
        <v>39.602741898415587</v>
      </c>
      <c r="F104" s="602">
        <f t="shared" si="92"/>
        <v>237.72054869000124</v>
      </c>
      <c r="G104" s="602">
        <f t="shared" si="92"/>
        <v>12.543353002429708</v>
      </c>
      <c r="H104" s="602">
        <f t="shared" si="92"/>
        <v>703.15725851537331</v>
      </c>
      <c r="I104" s="471"/>
      <c r="J104" s="602">
        <f t="shared" ref="J104:O104" si="93">SUM(J91:J103)</f>
        <v>2887.3952647027068</v>
      </c>
      <c r="K104" s="602">
        <f t="shared" si="93"/>
        <v>1116.8230350685708</v>
      </c>
      <c r="L104" s="602">
        <f t="shared" si="93"/>
        <v>400.5608752990608</v>
      </c>
      <c r="M104" s="602">
        <f t="shared" si="93"/>
        <v>4963.7778067526524</v>
      </c>
      <c r="N104" s="602">
        <f t="shared" si="93"/>
        <v>62.716765012148542</v>
      </c>
      <c r="O104" s="602">
        <f t="shared" si="93"/>
        <v>9431.2737468351388</v>
      </c>
      <c r="Q104" s="21">
        <f t="shared" ref="Q104:V104" si="94">SUM(Q91:Q103)</f>
        <v>3105.5081516366317</v>
      </c>
      <c r="R104" s="21">
        <f t="shared" si="94"/>
        <v>1312.0007630591729</v>
      </c>
      <c r="S104" s="21">
        <f t="shared" si="94"/>
        <v>440.16361719747636</v>
      </c>
      <c r="T104" s="21">
        <f t="shared" si="94"/>
        <v>5201.4983554426526</v>
      </c>
      <c r="U104" s="21">
        <f t="shared" si="94"/>
        <v>75.260118014578239</v>
      </c>
      <c r="V104" s="21">
        <f t="shared" si="94"/>
        <v>10134.431005350512</v>
      </c>
    </row>
    <row r="105" spans="2:23" x14ac:dyDescent="0.25">
      <c r="C105" s="471"/>
      <c r="D105" s="471"/>
      <c r="E105" s="471"/>
      <c r="F105" s="471"/>
      <c r="G105" s="471"/>
      <c r="H105" s="692"/>
      <c r="I105" s="471"/>
      <c r="J105" s="445"/>
      <c r="K105" s="445"/>
      <c r="L105" s="445"/>
      <c r="M105" s="445"/>
      <c r="N105" s="445"/>
      <c r="O105" s="692"/>
    </row>
    <row r="106" spans="2:23" x14ac:dyDescent="0.25">
      <c r="C106" s="471"/>
      <c r="D106" s="471"/>
      <c r="E106" s="471"/>
      <c r="F106" s="471"/>
      <c r="G106" s="471"/>
      <c r="H106" s="692"/>
      <c r="I106" s="471"/>
      <c r="J106" s="445"/>
      <c r="K106" s="445"/>
      <c r="L106" s="445"/>
      <c r="M106" s="445"/>
      <c r="N106" s="445"/>
      <c r="O106" s="692"/>
    </row>
    <row r="107" spans="2:23" x14ac:dyDescent="0.25">
      <c r="B107" s="25" t="s">
        <v>602</v>
      </c>
      <c r="C107" s="777" t="s">
        <v>567</v>
      </c>
      <c r="D107" s="777"/>
      <c r="E107" s="777"/>
      <c r="F107" s="777"/>
      <c r="G107" s="777"/>
      <c r="H107" s="777"/>
      <c r="I107" s="124"/>
      <c r="J107" s="777" t="s">
        <v>568</v>
      </c>
      <c r="K107" s="777"/>
      <c r="L107" s="777"/>
      <c r="M107" s="777"/>
      <c r="N107" s="777"/>
      <c r="O107" s="777"/>
      <c r="Q107" s="778" t="s">
        <v>119</v>
      </c>
      <c r="R107" s="778"/>
      <c r="S107" s="778"/>
      <c r="T107" s="778"/>
      <c r="U107" s="778"/>
      <c r="V107" s="778"/>
    </row>
    <row r="108" spans="2:23" ht="30" x14ac:dyDescent="0.25">
      <c r="C108" s="535" t="s">
        <v>151</v>
      </c>
      <c r="D108" s="535" t="s">
        <v>63</v>
      </c>
      <c r="E108" s="601" t="s">
        <v>152</v>
      </c>
      <c r="F108" s="601" t="s">
        <v>153</v>
      </c>
      <c r="G108" s="535" t="s">
        <v>77</v>
      </c>
      <c r="H108" s="688" t="s">
        <v>154</v>
      </c>
      <c r="I108" s="471"/>
      <c r="J108" s="535" t="s">
        <v>151</v>
      </c>
      <c r="K108" s="535" t="s">
        <v>63</v>
      </c>
      <c r="L108" s="601" t="s">
        <v>152</v>
      </c>
      <c r="M108" s="601" t="s">
        <v>153</v>
      </c>
      <c r="N108" s="535" t="s">
        <v>77</v>
      </c>
      <c r="O108" s="688" t="s">
        <v>154</v>
      </c>
      <c r="Q108" s="163" t="s">
        <v>151</v>
      </c>
      <c r="R108" s="163" t="s">
        <v>63</v>
      </c>
      <c r="S108" s="13" t="s">
        <v>152</v>
      </c>
      <c r="T108" s="13" t="s">
        <v>153</v>
      </c>
      <c r="U108" s="163" t="s">
        <v>77</v>
      </c>
      <c r="V108" s="13" t="s">
        <v>154</v>
      </c>
      <c r="W108" s="13" t="s">
        <v>72</v>
      </c>
    </row>
    <row r="109" spans="2:23" x14ac:dyDescent="0.25">
      <c r="B109" t="str">
        <f>STN_1</f>
        <v>BN</v>
      </c>
      <c r="C109" s="438">
        <f t="shared" ref="C109:G114" si="95">C80+C69+C58+C47+C37+C27+C16+C5</f>
        <v>3466.327352329346</v>
      </c>
      <c r="D109" s="438">
        <f t="shared" si="95"/>
        <v>750.70530993971602</v>
      </c>
      <c r="E109" s="438">
        <f t="shared" si="95"/>
        <v>1657.6900544545342</v>
      </c>
      <c r="F109" s="438">
        <f t="shared" si="95"/>
        <v>2255.6281838264035</v>
      </c>
      <c r="G109" s="438">
        <f t="shared" si="95"/>
        <v>89.14619493489765</v>
      </c>
      <c r="H109" s="438">
        <f>SUM(C109:G109)</f>
        <v>8219.4970954848977</v>
      </c>
      <c r="I109" s="471"/>
      <c r="J109" s="438">
        <f t="shared" ref="J109:N114" si="96">J80+J69+J58+J47+J37+J27+J16+J5</f>
        <v>2771.9489659816804</v>
      </c>
      <c r="K109" s="438">
        <f t="shared" si="96"/>
        <v>1043.7742756618234</v>
      </c>
      <c r="L109" s="438">
        <f t="shared" si="96"/>
        <v>0</v>
      </c>
      <c r="M109" s="438">
        <f t="shared" si="96"/>
        <v>7207.6444855533837</v>
      </c>
      <c r="N109" s="438">
        <f t="shared" si="96"/>
        <v>304.57749257054911</v>
      </c>
      <c r="O109" s="438">
        <f>SUM(J109:N109)</f>
        <v>11327.945219767436</v>
      </c>
      <c r="Q109" s="6">
        <f t="shared" ref="Q109:U114" si="97">Q80+Q69+Q58+Q47+Q37+Q27+Q16+Q5</f>
        <v>6238.2763183110264</v>
      </c>
      <c r="R109" s="6">
        <f t="shared" si="97"/>
        <v>1794.4795856015394</v>
      </c>
      <c r="S109" s="6">
        <f t="shared" si="97"/>
        <v>1657.690054454534</v>
      </c>
      <c r="T109" s="6">
        <f t="shared" si="97"/>
        <v>9463.2726693797886</v>
      </c>
      <c r="U109" s="6">
        <f t="shared" si="97"/>
        <v>393.72368750544683</v>
      </c>
      <c r="V109" s="6">
        <f>SUM(Q109:U109)</f>
        <v>19547.442315252334</v>
      </c>
      <c r="W109" s="19">
        <f t="shared" ref="W109:W115" si="98">V109-O109-H109</f>
        <v>0</v>
      </c>
    </row>
    <row r="110" spans="2:23" x14ac:dyDescent="0.25">
      <c r="B110" t="str">
        <f>STN_2</f>
        <v>KLO</v>
      </c>
      <c r="C110" s="438">
        <f t="shared" si="95"/>
        <v>624.95559099120942</v>
      </c>
      <c r="D110" s="438">
        <f t="shared" si="95"/>
        <v>257.3335558786294</v>
      </c>
      <c r="E110" s="438">
        <f t="shared" si="95"/>
        <v>1266.4015197986466</v>
      </c>
      <c r="F110" s="438">
        <f t="shared" si="95"/>
        <v>1479.4227791348912</v>
      </c>
      <c r="G110" s="438">
        <f t="shared" si="95"/>
        <v>0</v>
      </c>
      <c r="H110" s="438">
        <f t="shared" ref="H110:H115" si="99">SUM(C110:G110)</f>
        <v>3628.1134458033766</v>
      </c>
      <c r="I110" s="471"/>
      <c r="J110" s="438">
        <f t="shared" si="96"/>
        <v>5504.1825261304766</v>
      </c>
      <c r="K110" s="438">
        <f t="shared" si="96"/>
        <v>1136.2369605685424</v>
      </c>
      <c r="L110" s="438">
        <f t="shared" si="96"/>
        <v>0</v>
      </c>
      <c r="M110" s="438">
        <f t="shared" si="96"/>
        <v>7563.9771067454785</v>
      </c>
      <c r="N110" s="438">
        <f t="shared" si="96"/>
        <v>203.11058472265307</v>
      </c>
      <c r="O110" s="438">
        <f t="shared" ref="O110:O115" si="100">SUM(J110:N110)</f>
        <v>14407.50717816715</v>
      </c>
      <c r="Q110" s="6">
        <f t="shared" si="97"/>
        <v>6129.1381171216863</v>
      </c>
      <c r="R110" s="6">
        <f t="shared" si="97"/>
        <v>1393.5705164471717</v>
      </c>
      <c r="S110" s="6">
        <f t="shared" si="97"/>
        <v>1266.4015197986464</v>
      </c>
      <c r="T110" s="6">
        <f t="shared" si="97"/>
        <v>9043.3998858803698</v>
      </c>
      <c r="U110" s="6">
        <f t="shared" si="97"/>
        <v>203.11058472265307</v>
      </c>
      <c r="V110" s="6">
        <f t="shared" ref="V110:V115" si="101">SUM(Q110:U110)</f>
        <v>18035.620623970528</v>
      </c>
      <c r="W110" s="19">
        <f t="shared" si="98"/>
        <v>0</v>
      </c>
    </row>
    <row r="111" spans="2:23" x14ac:dyDescent="0.25">
      <c r="B111" t="str">
        <f>STN_3</f>
        <v>LLG</v>
      </c>
      <c r="C111" s="438">
        <f t="shared" si="95"/>
        <v>1323.8470769449189</v>
      </c>
      <c r="D111" s="438">
        <f t="shared" si="95"/>
        <v>362.23792998362217</v>
      </c>
      <c r="E111" s="438">
        <f t="shared" si="95"/>
        <v>1307.4584719472771</v>
      </c>
      <c r="F111" s="438">
        <f t="shared" si="95"/>
        <v>401.2773045480763</v>
      </c>
      <c r="G111" s="438">
        <f t="shared" si="95"/>
        <v>24.447664321543741</v>
      </c>
      <c r="H111" s="438">
        <f t="shared" si="99"/>
        <v>3419.2684477454386</v>
      </c>
      <c r="I111" s="471"/>
      <c r="J111" s="438">
        <f t="shared" si="96"/>
        <v>2856.58436920039</v>
      </c>
      <c r="K111" s="438">
        <f t="shared" si="96"/>
        <v>994.0187474641773</v>
      </c>
      <c r="L111" s="438">
        <f t="shared" si="96"/>
        <v>0</v>
      </c>
      <c r="M111" s="438">
        <f t="shared" si="96"/>
        <v>4340.931724334414</v>
      </c>
      <c r="N111" s="438">
        <f t="shared" si="96"/>
        <v>189.94095954190232</v>
      </c>
      <c r="O111" s="438">
        <f t="shared" si="100"/>
        <v>8381.4758005408839</v>
      </c>
      <c r="Q111" s="6">
        <f t="shared" si="97"/>
        <v>4180.4314461453087</v>
      </c>
      <c r="R111" s="6">
        <f t="shared" si="97"/>
        <v>1356.2566774477996</v>
      </c>
      <c r="S111" s="6">
        <f t="shared" si="97"/>
        <v>1307.4584719472771</v>
      </c>
      <c r="T111" s="6">
        <f t="shared" si="97"/>
        <v>4742.2090288824893</v>
      </c>
      <c r="U111" s="6">
        <f t="shared" si="97"/>
        <v>214.38862386344607</v>
      </c>
      <c r="V111" s="6">
        <f t="shared" si="101"/>
        <v>11800.744248286321</v>
      </c>
      <c r="W111" s="19">
        <f t="shared" si="98"/>
        <v>0</v>
      </c>
    </row>
    <row r="112" spans="2:23" x14ac:dyDescent="0.25">
      <c r="B112" t="str">
        <f>STN_4</f>
        <v>MSD</v>
      </c>
      <c r="C112" s="438">
        <f t="shared" si="95"/>
        <v>3964.299956142861</v>
      </c>
      <c r="D112" s="438">
        <f t="shared" si="95"/>
        <v>1417.6536445667423</v>
      </c>
      <c r="E112" s="438">
        <f t="shared" si="95"/>
        <v>1247.9393445156804</v>
      </c>
      <c r="F112" s="438">
        <f t="shared" si="95"/>
        <v>4483.7905832048309</v>
      </c>
      <c r="G112" s="438">
        <f t="shared" si="95"/>
        <v>258.89853256453517</v>
      </c>
      <c r="H112" s="438">
        <f t="shared" si="99"/>
        <v>11372.58206099465</v>
      </c>
      <c r="I112" s="471"/>
      <c r="J112" s="438">
        <f t="shared" si="96"/>
        <v>0</v>
      </c>
      <c r="K112" s="438">
        <f t="shared" si="96"/>
        <v>0</v>
      </c>
      <c r="L112" s="438">
        <f t="shared" si="96"/>
        <v>0</v>
      </c>
      <c r="M112" s="438">
        <f t="shared" si="96"/>
        <v>0</v>
      </c>
      <c r="N112" s="438">
        <f t="shared" si="96"/>
        <v>0</v>
      </c>
      <c r="O112" s="438">
        <f t="shared" si="100"/>
        <v>0</v>
      </c>
      <c r="Q112" s="6">
        <f t="shared" si="97"/>
        <v>3964.299956142861</v>
      </c>
      <c r="R112" s="6">
        <f t="shared" si="97"/>
        <v>1417.6536445667421</v>
      </c>
      <c r="S112" s="6">
        <f t="shared" si="97"/>
        <v>1247.9393445156804</v>
      </c>
      <c r="T112" s="6">
        <f t="shared" si="97"/>
        <v>4483.7905832048309</v>
      </c>
      <c r="U112" s="6">
        <f t="shared" si="97"/>
        <v>258.89853256453517</v>
      </c>
      <c r="V112" s="6">
        <f t="shared" si="101"/>
        <v>11372.58206099465</v>
      </c>
      <c r="W112" s="19">
        <f t="shared" si="98"/>
        <v>0</v>
      </c>
    </row>
    <row r="113" spans="2:23" x14ac:dyDescent="0.25">
      <c r="B113" t="str">
        <f>STN_5</f>
        <v>SLE</v>
      </c>
      <c r="C113" s="438">
        <f t="shared" si="95"/>
        <v>2779.3678562196174</v>
      </c>
      <c r="D113" s="438">
        <f t="shared" si="95"/>
        <v>704.60414211054399</v>
      </c>
      <c r="E113" s="438">
        <f t="shared" si="95"/>
        <v>1244.1241308456836</v>
      </c>
      <c r="F113" s="438">
        <f t="shared" si="95"/>
        <v>1566.5009534642727</v>
      </c>
      <c r="G113" s="438">
        <f t="shared" si="95"/>
        <v>70.476022829910903</v>
      </c>
      <c r="H113" s="438">
        <f t="shared" si="99"/>
        <v>6365.0731054700282</v>
      </c>
      <c r="I113" s="471"/>
      <c r="J113" s="438">
        <f t="shared" si="96"/>
        <v>3085.7945142518624</v>
      </c>
      <c r="K113" s="438">
        <f t="shared" si="96"/>
        <v>870.42544661874922</v>
      </c>
      <c r="L113" s="438">
        <f t="shared" si="96"/>
        <v>0</v>
      </c>
      <c r="M113" s="438">
        <f t="shared" si="96"/>
        <v>5357.2641981176439</v>
      </c>
      <c r="N113" s="438">
        <f t="shared" si="96"/>
        <v>207.97980304412621</v>
      </c>
      <c r="O113" s="438">
        <f t="shared" si="100"/>
        <v>9521.4639620323833</v>
      </c>
      <c r="Q113" s="6">
        <f t="shared" si="97"/>
        <v>5865.1623704714802</v>
      </c>
      <c r="R113" s="6">
        <f t="shared" si="97"/>
        <v>1575.0295887292932</v>
      </c>
      <c r="S113" s="6">
        <f t="shared" si="97"/>
        <v>1244.1241308456833</v>
      </c>
      <c r="T113" s="6">
        <f t="shared" si="97"/>
        <v>6923.7651515819171</v>
      </c>
      <c r="U113" s="6">
        <f t="shared" si="97"/>
        <v>278.45582587403715</v>
      </c>
      <c r="V113" s="6">
        <f t="shared" si="101"/>
        <v>15886.53706750241</v>
      </c>
      <c r="W113" s="19">
        <f t="shared" si="98"/>
        <v>0</v>
      </c>
    </row>
    <row r="114" spans="2:23" x14ac:dyDescent="0.25">
      <c r="B114" t="str">
        <f>STN_9</f>
        <v>KLO2</v>
      </c>
      <c r="C114" s="438">
        <f t="shared" si="95"/>
        <v>3018.1628290093654</v>
      </c>
      <c r="D114" s="438">
        <f t="shared" si="95"/>
        <v>210.89619963438292</v>
      </c>
      <c r="E114" s="438">
        <f t="shared" si="95"/>
        <v>1132.0353982300883</v>
      </c>
      <c r="F114" s="438">
        <f t="shared" si="95"/>
        <v>1886.7256637168136</v>
      </c>
      <c r="G114" s="438">
        <f t="shared" si="95"/>
        <v>0</v>
      </c>
      <c r="H114" s="438">
        <f t="shared" si="99"/>
        <v>6247.8200905906506</v>
      </c>
      <c r="I114" s="471"/>
      <c r="J114" s="438">
        <f t="shared" si="96"/>
        <v>1293.4983552897288</v>
      </c>
      <c r="K114" s="438">
        <f t="shared" si="96"/>
        <v>1898.0657967094462</v>
      </c>
      <c r="L114" s="438">
        <f t="shared" si="96"/>
        <v>0</v>
      </c>
      <c r="M114" s="438">
        <f t="shared" si="96"/>
        <v>5711.7114805598849</v>
      </c>
      <c r="N114" s="438">
        <f t="shared" si="96"/>
        <v>1613.7404554960463</v>
      </c>
      <c r="O114" s="438">
        <f t="shared" si="100"/>
        <v>10517.016088055107</v>
      </c>
      <c r="Q114" s="6">
        <f t="shared" si="97"/>
        <v>4311.6611842990942</v>
      </c>
      <c r="R114" s="6">
        <f t="shared" si="97"/>
        <v>2108.961996343829</v>
      </c>
      <c r="S114" s="6">
        <f t="shared" si="97"/>
        <v>1132.0353982300883</v>
      </c>
      <c r="T114" s="6">
        <f t="shared" si="97"/>
        <v>7598.4371442766987</v>
      </c>
      <c r="U114" s="6">
        <f t="shared" si="97"/>
        <v>1613.7404554960463</v>
      </c>
      <c r="V114" s="6">
        <f t="shared" si="101"/>
        <v>16764.836178645757</v>
      </c>
      <c r="W114" s="19">
        <f t="shared" si="98"/>
        <v>0</v>
      </c>
    </row>
    <row r="115" spans="2:23" x14ac:dyDescent="0.25">
      <c r="B115" t="s">
        <v>140</v>
      </c>
      <c r="C115" s="438">
        <f>C104</f>
        <v>218.1128869339247</v>
      </c>
      <c r="D115" s="438">
        <f>D104</f>
        <v>195.17772799060199</v>
      </c>
      <c r="E115" s="438">
        <f>E104</f>
        <v>39.602741898415587</v>
      </c>
      <c r="F115" s="438">
        <f>F104</f>
        <v>237.72054869000124</v>
      </c>
      <c r="G115" s="438">
        <f>G104</f>
        <v>12.543353002429708</v>
      </c>
      <c r="H115" s="438">
        <f t="shared" si="99"/>
        <v>703.15725851537331</v>
      </c>
      <c r="I115" s="471"/>
      <c r="J115" s="438">
        <f>J104</f>
        <v>2887.3952647027068</v>
      </c>
      <c r="K115" s="438">
        <f>K104</f>
        <v>1116.8230350685708</v>
      </c>
      <c r="L115" s="438">
        <f>L104</f>
        <v>400.5608752990608</v>
      </c>
      <c r="M115" s="438">
        <f>M104</f>
        <v>4963.7778067526524</v>
      </c>
      <c r="N115" s="438">
        <f>N104</f>
        <v>62.716765012148542</v>
      </c>
      <c r="O115" s="438">
        <f t="shared" si="100"/>
        <v>9431.2737468351388</v>
      </c>
      <c r="Q115" s="6">
        <f>Q104</f>
        <v>3105.5081516366317</v>
      </c>
      <c r="R115" s="6">
        <f>R104</f>
        <v>1312.0007630591729</v>
      </c>
      <c r="S115" s="6">
        <f>S104</f>
        <v>440.16361719747636</v>
      </c>
      <c r="T115" s="6">
        <f>T104</f>
        <v>5201.4983554426526</v>
      </c>
      <c r="U115" s="6">
        <f>U104</f>
        <v>75.260118014578239</v>
      </c>
      <c r="V115" s="6">
        <f t="shared" si="101"/>
        <v>10134.431005350511</v>
      </c>
      <c r="W115" s="19">
        <f t="shared" si="98"/>
        <v>-1.5916157281026244E-12</v>
      </c>
    </row>
    <row r="116" spans="2:23" ht="15.75" thickBot="1" x14ac:dyDescent="0.3">
      <c r="B116" t="s">
        <v>6</v>
      </c>
      <c r="C116" s="610">
        <f t="shared" ref="C116:H116" si="102">SUM(C109:C115)</f>
        <v>15395.073548571241</v>
      </c>
      <c r="D116" s="610">
        <f t="shared" si="102"/>
        <v>3898.6085101042386</v>
      </c>
      <c r="E116" s="610">
        <f t="shared" si="102"/>
        <v>7895.2516616903258</v>
      </c>
      <c r="F116" s="610">
        <f t="shared" si="102"/>
        <v>12311.066016585291</v>
      </c>
      <c r="G116" s="610">
        <f t="shared" si="102"/>
        <v>455.51176765331712</v>
      </c>
      <c r="H116" s="610">
        <f t="shared" si="102"/>
        <v>39955.511504604408</v>
      </c>
      <c r="I116" s="471"/>
      <c r="J116" s="610">
        <f t="shared" ref="J116:O116" si="103">SUM(J109:J115)</f>
        <v>18399.403995556844</v>
      </c>
      <c r="K116" s="610">
        <f t="shared" si="103"/>
        <v>7059.3442620913092</v>
      </c>
      <c r="L116" s="610">
        <f t="shared" si="103"/>
        <v>400.5608752990608</v>
      </c>
      <c r="M116" s="610">
        <f t="shared" si="103"/>
        <v>35145.306802063453</v>
      </c>
      <c r="N116" s="610">
        <f t="shared" si="103"/>
        <v>2582.0660603874258</v>
      </c>
      <c r="O116" s="610">
        <f t="shared" si="103"/>
        <v>63586.681995398096</v>
      </c>
      <c r="Q116" s="180">
        <f t="shared" ref="Q116:V116" si="104">SUM(Q109:Q115)</f>
        <v>33794.477544128087</v>
      </c>
      <c r="R116" s="180">
        <f t="shared" si="104"/>
        <v>10957.952772195547</v>
      </c>
      <c r="S116" s="180">
        <f t="shared" si="104"/>
        <v>8295.812536989386</v>
      </c>
      <c r="T116" s="180">
        <f t="shared" si="104"/>
        <v>47456.37281864875</v>
      </c>
      <c r="U116" s="180">
        <f t="shared" si="104"/>
        <v>3037.577828040743</v>
      </c>
      <c r="V116" s="180">
        <f t="shared" si="104"/>
        <v>103542.1935000025</v>
      </c>
    </row>
    <row r="117" spans="2:23" x14ac:dyDescent="0.25">
      <c r="B117" s="199" t="s">
        <v>72</v>
      </c>
      <c r="C117" s="199"/>
      <c r="D117" s="199"/>
      <c r="E117" s="199"/>
      <c r="F117" s="199"/>
      <c r="G117" s="199"/>
      <c r="H117" s="694"/>
      <c r="I117" s="199"/>
      <c r="Q117" s="196">
        <f t="shared" ref="Q117:V117" si="105">Q116-Q104-Q86-Q75-Q64-Q53-Q43-Q33-Q22-Q11</f>
        <v>0</v>
      </c>
      <c r="R117" s="196">
        <f t="shared" si="105"/>
        <v>0</v>
      </c>
      <c r="S117" s="196">
        <f t="shared" si="105"/>
        <v>0</v>
      </c>
      <c r="T117" s="196">
        <f t="shared" si="105"/>
        <v>0</v>
      </c>
      <c r="U117" s="196">
        <f t="shared" si="105"/>
        <v>0</v>
      </c>
      <c r="V117" s="196">
        <f t="shared" si="105"/>
        <v>0</v>
      </c>
    </row>
    <row r="118" spans="2:23" x14ac:dyDescent="0.25">
      <c r="B118" s="25"/>
      <c r="C118" s="25"/>
      <c r="D118" s="327"/>
      <c r="E118" s="130"/>
      <c r="F118" s="327"/>
      <c r="G118" s="25"/>
      <c r="H118" s="499"/>
      <c r="I118" s="25"/>
      <c r="Q118" s="329"/>
      <c r="R118" s="329"/>
      <c r="S118" s="329"/>
      <c r="T118" s="329"/>
      <c r="U118" s="329"/>
      <c r="V118" s="329"/>
    </row>
    <row r="119" spans="2:23" x14ac:dyDescent="0.25">
      <c r="B119" s="411"/>
      <c r="C119" s="411"/>
      <c r="D119" s="411"/>
      <c r="E119" s="411"/>
      <c r="F119" s="411"/>
      <c r="G119" s="411"/>
      <c r="H119" s="695"/>
      <c r="I119" s="411"/>
      <c r="Q119" s="412"/>
      <c r="R119" s="412"/>
      <c r="S119" s="412"/>
      <c r="T119" s="412"/>
      <c r="U119" s="412"/>
      <c r="V119" s="412"/>
    </row>
    <row r="120" spans="2:23" x14ac:dyDescent="0.25">
      <c r="D120" s="11"/>
      <c r="W120" s="11"/>
    </row>
    <row r="122" spans="2:23" x14ac:dyDescent="0.25">
      <c r="D122" s="15"/>
    </row>
  </sheetData>
  <mergeCells count="30">
    <mergeCell ref="C25:H25"/>
    <mergeCell ref="J25:O25"/>
    <mergeCell ref="C35:H35"/>
    <mergeCell ref="J35:O35"/>
    <mergeCell ref="C45:H45"/>
    <mergeCell ref="J45:O45"/>
    <mergeCell ref="Q3:V3"/>
    <mergeCell ref="J3:O3"/>
    <mergeCell ref="C3:H3"/>
    <mergeCell ref="C14:H14"/>
    <mergeCell ref="J14:O14"/>
    <mergeCell ref="Q14:V14"/>
    <mergeCell ref="Q78:V78"/>
    <mergeCell ref="Q89:V89"/>
    <mergeCell ref="J56:O56"/>
    <mergeCell ref="C67:H67"/>
    <mergeCell ref="J67:O67"/>
    <mergeCell ref="C78:H78"/>
    <mergeCell ref="J78:O78"/>
    <mergeCell ref="C56:H56"/>
    <mergeCell ref="Q25:V25"/>
    <mergeCell ref="Q35:V35"/>
    <mergeCell ref="Q45:V45"/>
    <mergeCell ref="Q56:V56"/>
    <mergeCell ref="Q67:V67"/>
    <mergeCell ref="C107:H107"/>
    <mergeCell ref="J107:O107"/>
    <mergeCell ref="Q107:V107"/>
    <mergeCell ref="C89:H89"/>
    <mergeCell ref="J89:O89"/>
  </mergeCells>
  <pageMargins left="0.7" right="0.7" top="0.75" bottom="0.75" header="0.3" footer="0.3"/>
  <pageSetup paperSize="9" orientation="portrait" r:id="rId1"/>
  <ignoredErrors>
    <ignoredError sqref="V95" formula="1"/>
    <ignoredError sqref="D95:G95 K95:N95 C100:G100 J100:N100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BW393"/>
  <sheetViews>
    <sheetView zoomScaleNormal="100" workbookViewId="0">
      <pane xSplit="5" ySplit="4" topLeftCell="F89" activePane="bottomRight" state="frozen"/>
      <selection activeCell="I5" sqref="I5"/>
      <selection pane="topRight" activeCell="I5" sqref="I5"/>
      <selection pane="bottomLeft" activeCell="I5" sqref="I5"/>
      <selection pane="bottomRight" activeCell="I93" sqref="I93"/>
    </sheetView>
  </sheetViews>
  <sheetFormatPr defaultRowHeight="15" outlineLevelRow="1" outlineLevelCol="1" x14ac:dyDescent="0.25"/>
  <cols>
    <col min="1" max="1" width="4.140625" customWidth="1"/>
    <col min="2" max="2" width="47.28515625" customWidth="1"/>
    <col min="3" max="3" width="11.5703125" customWidth="1"/>
    <col min="4" max="4" width="11.28515625" customWidth="1"/>
    <col min="5" max="5" width="10.85546875" customWidth="1"/>
    <col min="6" max="6" width="17.42578125" customWidth="1" outlineLevel="1"/>
    <col min="7" max="7" width="34.140625" customWidth="1" outlineLevel="1"/>
    <col min="8" max="8" width="40.140625" customWidth="1" outlineLevel="1"/>
    <col min="9" max="13" width="11" customWidth="1" outlineLevel="1"/>
    <col min="14" max="14" width="9" bestFit="1" customWidth="1"/>
    <col min="15" max="15" width="10.28515625" customWidth="1"/>
    <col min="16" max="16" width="9.7109375" customWidth="1"/>
    <col min="17" max="17" width="10.28515625" customWidth="1"/>
    <col min="18" max="21" width="10.140625" customWidth="1"/>
    <col min="22" max="22" width="2.85546875" customWidth="1"/>
    <col min="23" max="25" width="9" bestFit="1" customWidth="1"/>
    <col min="26" max="27" width="9.5703125" bestFit="1" customWidth="1"/>
    <col min="28" max="30" width="8.85546875" customWidth="1"/>
    <col min="31" max="31" width="3.140625" customWidth="1"/>
    <col min="33" max="33" width="10.28515625" customWidth="1"/>
    <col min="34" max="34" width="9.5703125" customWidth="1"/>
    <col min="35" max="35" width="9.85546875" customWidth="1"/>
    <col min="36" max="36" width="10.140625" customWidth="1"/>
    <col min="37" max="37" width="9.85546875" customWidth="1"/>
    <col min="38" max="38" width="10.140625" customWidth="1"/>
    <col min="39" max="39" width="9.140625" customWidth="1"/>
    <col min="40" max="40" width="2.7109375" customWidth="1"/>
    <col min="46" max="48" width="9.140625" customWidth="1"/>
    <col min="49" max="49" width="3.28515625" customWidth="1"/>
    <col min="51" max="52" width="9.7109375" customWidth="1"/>
    <col min="53" max="54" width="10.140625" customWidth="1"/>
    <col min="55" max="55" width="11.7109375" bestFit="1" customWidth="1"/>
    <col min="56" max="56" width="11.42578125" bestFit="1" customWidth="1"/>
    <col min="58" max="58" width="2.140625" customWidth="1"/>
    <col min="59" max="59" width="11.42578125" customWidth="1"/>
    <col min="60" max="60" width="9.42578125" customWidth="1"/>
    <col min="61" max="61" width="9.28515625" bestFit="1" customWidth="1"/>
    <col min="62" max="62" width="9.5703125" hidden="1" customWidth="1" outlineLevel="1"/>
    <col min="63" max="66" width="10.28515625" hidden="1" customWidth="1" outlineLevel="1"/>
    <col min="67" max="67" width="10.28515625" customWidth="1" collapsed="1"/>
    <col min="68" max="68" width="10.5703125" bestFit="1" customWidth="1"/>
  </cols>
  <sheetData>
    <row r="1" spans="2:75" ht="15.75" x14ac:dyDescent="0.25">
      <c r="B1" s="123" t="s">
        <v>583</v>
      </c>
      <c r="C1" s="3"/>
      <c r="D1" s="3"/>
    </row>
    <row r="3" spans="2:75" ht="26.45" customHeight="1" x14ac:dyDescent="0.25">
      <c r="B3" s="7" t="s">
        <v>11</v>
      </c>
      <c r="C3" s="7" t="s">
        <v>7</v>
      </c>
      <c r="D3" s="10" t="s">
        <v>12</v>
      </c>
      <c r="E3" s="7" t="s">
        <v>10</v>
      </c>
      <c r="F3" s="7"/>
      <c r="G3" s="7"/>
      <c r="H3" s="7"/>
      <c r="I3" s="366" t="s">
        <v>151</v>
      </c>
      <c r="J3" s="366" t="s">
        <v>306</v>
      </c>
      <c r="K3" s="366" t="s">
        <v>152</v>
      </c>
      <c r="L3" s="366" t="s">
        <v>153</v>
      </c>
      <c r="M3" s="366" t="s">
        <v>77</v>
      </c>
      <c r="N3" s="779" t="s">
        <v>0</v>
      </c>
      <c r="O3" s="780"/>
      <c r="P3" s="780"/>
      <c r="Q3" s="780"/>
      <c r="R3" s="780"/>
      <c r="S3" s="780"/>
      <c r="T3" s="780"/>
      <c r="U3" s="781"/>
      <c r="W3" s="779" t="s">
        <v>1</v>
      </c>
      <c r="X3" s="780"/>
      <c r="Y3" s="780"/>
      <c r="Z3" s="780"/>
      <c r="AA3" s="780"/>
      <c r="AB3" s="780"/>
      <c r="AC3" s="780"/>
      <c r="AD3" s="781"/>
      <c r="AE3" s="1"/>
      <c r="AF3" s="779" t="s">
        <v>2</v>
      </c>
      <c r="AG3" s="780"/>
      <c r="AH3" s="780"/>
      <c r="AI3" s="780"/>
      <c r="AJ3" s="780"/>
      <c r="AK3" s="780"/>
      <c r="AL3" s="780"/>
      <c r="AM3" s="781"/>
      <c r="AN3" s="1"/>
      <c r="AO3" s="779" t="s">
        <v>3</v>
      </c>
      <c r="AP3" s="780"/>
      <c r="AQ3" s="780"/>
      <c r="AR3" s="780"/>
      <c r="AS3" s="780"/>
      <c r="AT3" s="780"/>
      <c r="AU3" s="780"/>
      <c r="AV3" s="781"/>
      <c r="AW3" s="2"/>
      <c r="AX3" s="779" t="s">
        <v>4</v>
      </c>
      <c r="AY3" s="780"/>
      <c r="AZ3" s="780"/>
      <c r="BA3" s="780"/>
      <c r="BB3" s="780"/>
      <c r="BC3" s="780"/>
      <c r="BD3" s="780"/>
      <c r="BE3" s="781"/>
    </row>
    <row r="4" spans="2:75" x14ac:dyDescent="0.25">
      <c r="E4" s="4"/>
      <c r="F4" s="4" t="s">
        <v>101</v>
      </c>
      <c r="G4" s="4" t="s">
        <v>27</v>
      </c>
      <c r="H4" s="170"/>
      <c r="I4" s="336" t="s">
        <v>6</v>
      </c>
      <c r="J4" s="336" t="s">
        <v>6</v>
      </c>
      <c r="K4" s="336" t="s">
        <v>6</v>
      </c>
      <c r="L4" s="336" t="s">
        <v>6</v>
      </c>
      <c r="M4" s="336" t="s">
        <v>6</v>
      </c>
      <c r="N4" s="18">
        <v>2016</v>
      </c>
      <c r="O4" s="18">
        <v>2017</v>
      </c>
      <c r="P4" s="18">
        <v>2018</v>
      </c>
      <c r="Q4" s="18">
        <v>2019</v>
      </c>
      <c r="R4" s="18">
        <v>2020</v>
      </c>
      <c r="S4" s="18">
        <v>2021</v>
      </c>
      <c r="T4" s="18">
        <v>2022</v>
      </c>
      <c r="U4" s="18">
        <v>2023</v>
      </c>
      <c r="V4" s="4"/>
      <c r="W4" s="18">
        <v>2016</v>
      </c>
      <c r="X4" s="18">
        <v>2017</v>
      </c>
      <c r="Y4" s="18">
        <v>2018</v>
      </c>
      <c r="Z4" s="18">
        <v>2019</v>
      </c>
      <c r="AA4" s="18">
        <v>2020</v>
      </c>
      <c r="AB4" s="18">
        <v>2021</v>
      </c>
      <c r="AC4" s="18">
        <v>2022</v>
      </c>
      <c r="AD4" s="18">
        <v>2023</v>
      </c>
      <c r="AE4" s="4"/>
      <c r="AF4" s="18">
        <v>2016</v>
      </c>
      <c r="AG4" s="18">
        <v>2017</v>
      </c>
      <c r="AH4" s="18">
        <v>2018</v>
      </c>
      <c r="AI4" s="18">
        <v>2019</v>
      </c>
      <c r="AJ4" s="18">
        <v>2020</v>
      </c>
      <c r="AK4" s="18">
        <v>2021</v>
      </c>
      <c r="AL4" s="18">
        <v>2022</v>
      </c>
      <c r="AM4" s="18">
        <v>2023</v>
      </c>
      <c r="AN4" s="4"/>
      <c r="AO4" s="18">
        <v>2016</v>
      </c>
      <c r="AP4" s="18">
        <v>2017</v>
      </c>
      <c r="AQ4" s="18">
        <v>2018</v>
      </c>
      <c r="AR4" s="18">
        <v>2019</v>
      </c>
      <c r="AS4" s="18">
        <v>2020</v>
      </c>
      <c r="AT4" s="18">
        <v>2021</v>
      </c>
      <c r="AU4" s="18">
        <v>2022</v>
      </c>
      <c r="AV4" s="18">
        <v>2023</v>
      </c>
      <c r="AW4" s="4"/>
      <c r="AX4" s="18">
        <v>2016</v>
      </c>
      <c r="AY4" s="18">
        <v>2017</v>
      </c>
      <c r="AZ4" s="18">
        <v>2018</v>
      </c>
      <c r="BA4" s="18">
        <v>2019</v>
      </c>
      <c r="BB4" s="18">
        <v>2020</v>
      </c>
      <c r="BC4" s="18">
        <v>2021</v>
      </c>
      <c r="BD4" s="18">
        <v>2022</v>
      </c>
      <c r="BE4" s="18">
        <v>2023</v>
      </c>
      <c r="BG4" s="4" t="s">
        <v>13</v>
      </c>
      <c r="BH4" s="4" t="s">
        <v>14</v>
      </c>
      <c r="BJ4" s="482" t="s">
        <v>151</v>
      </c>
      <c r="BK4" s="493" t="s">
        <v>63</v>
      </c>
      <c r="BL4" s="493" t="s">
        <v>7</v>
      </c>
      <c r="BM4" s="650" t="s">
        <v>380</v>
      </c>
      <c r="BN4" s="650" t="s">
        <v>77</v>
      </c>
      <c r="BO4" s="675"/>
    </row>
    <row r="5" spans="2:75" outlineLevel="1" x14ac:dyDescent="0.25">
      <c r="E5" s="170"/>
      <c r="F5" s="170"/>
      <c r="G5" s="170"/>
      <c r="H5" s="170"/>
      <c r="I5" s="336"/>
      <c r="J5" s="336"/>
      <c r="K5" s="336"/>
      <c r="L5" s="336"/>
      <c r="M5" s="336"/>
      <c r="N5" s="181" t="s">
        <v>172</v>
      </c>
      <c r="O5" s="181" t="s">
        <v>173</v>
      </c>
      <c r="P5" s="181" t="s">
        <v>174</v>
      </c>
      <c r="Q5" s="181" t="s">
        <v>175</v>
      </c>
      <c r="R5" s="181" t="s">
        <v>176</v>
      </c>
      <c r="S5" s="181"/>
      <c r="T5" s="181"/>
      <c r="U5" s="181"/>
      <c r="V5" s="170"/>
      <c r="W5" s="181" t="s">
        <v>177</v>
      </c>
      <c r="X5" s="181" t="s">
        <v>178</v>
      </c>
      <c r="Y5" s="181" t="s">
        <v>179</v>
      </c>
      <c r="Z5" s="181" t="s">
        <v>180</v>
      </c>
      <c r="AA5" s="181" t="s">
        <v>181</v>
      </c>
      <c r="AB5" s="181"/>
      <c r="AC5" s="181"/>
      <c r="AD5" s="181"/>
      <c r="AE5" s="170"/>
      <c r="AF5" s="181" t="s">
        <v>182</v>
      </c>
      <c r="AG5" s="181" t="s">
        <v>183</v>
      </c>
      <c r="AH5" s="181" t="s">
        <v>184</v>
      </c>
      <c r="AI5" s="181" t="s">
        <v>185</v>
      </c>
      <c r="AJ5" s="181" t="s">
        <v>186</v>
      </c>
      <c r="AK5" s="181"/>
      <c r="AL5" s="181"/>
      <c r="AM5" s="181"/>
      <c r="AN5" s="170"/>
      <c r="AO5" s="181" t="s">
        <v>187</v>
      </c>
      <c r="AP5" s="181" t="s">
        <v>188</v>
      </c>
      <c r="AQ5" s="181" t="s">
        <v>189</v>
      </c>
      <c r="AR5" s="181" t="s">
        <v>190</v>
      </c>
      <c r="AS5" s="181" t="s">
        <v>191</v>
      </c>
      <c r="AT5" s="181"/>
      <c r="AU5" s="181"/>
      <c r="AV5" s="181"/>
      <c r="AW5" s="170"/>
      <c r="AX5" s="181"/>
      <c r="AY5" s="181"/>
      <c r="AZ5" s="181"/>
      <c r="BA5" s="181"/>
      <c r="BB5" s="181"/>
      <c r="BC5" s="181"/>
      <c r="BD5" s="181"/>
      <c r="BE5" s="181"/>
      <c r="BG5" s="170"/>
      <c r="BH5" s="170"/>
      <c r="BJ5" s="38"/>
      <c r="BK5" s="38"/>
      <c r="BL5" s="38"/>
      <c r="BM5" s="38"/>
      <c r="BN5" s="38"/>
    </row>
    <row r="6" spans="2:75" x14ac:dyDescent="0.25">
      <c r="B6" s="25" t="s">
        <v>136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2:75" x14ac:dyDescent="0.25">
      <c r="B7" s="164" t="str">
        <f>STN_1</f>
        <v>BN</v>
      </c>
      <c r="C7" s="17">
        <f>INDEX(Schedule!$C$4:$E$9,MATCH($B7,Schedule!$B$4:$B$9,0),1)</f>
        <v>43692</v>
      </c>
      <c r="D7" s="17">
        <f>INDEX(Schedule!$C$4:$E$9,MATCH($B7,Schedule!$B$4:$B$9,0),2)</f>
        <v>44105</v>
      </c>
      <c r="E7" s="17">
        <f>INDEX(Schedule!$C$4:$E$9,MATCH($B7,Schedule!$B$4:$B$9,0),3)</f>
        <v>44715</v>
      </c>
      <c r="F7" s="677" t="s">
        <v>42</v>
      </c>
      <c r="G7" s="676" t="s">
        <v>18</v>
      </c>
      <c r="H7" s="676" t="str">
        <f>G7&amp;F7</f>
        <v>SubtransmissionAugmentation</v>
      </c>
      <c r="I7" s="365">
        <f>INDEX(BN_Det!$K$113:$O$117,MATCH($H7,BN_Det!$F$113:$F$117,0),MATCH(I$3,BN_Det!$K$4:$O$4,0))</f>
        <v>2463.4222300884949</v>
      </c>
      <c r="J7" s="365">
        <f>INDEX(BN_Det!$K$113:$O$117,MATCH($H7,BN_Det!$F$113:$F$117,0),MATCH(J$3,BN_Det!$K$4:$O$4,0))</f>
        <v>781.12102150668045</v>
      </c>
      <c r="K7" s="365">
        <f>INDEX(BN_Det!$K$113:$O$117,MATCH($H7,BN_Det!$F$113:$F$117,0),MATCH(K$3,BN_Det!$K$4:$O$4,0))</f>
        <v>1049.456932942539</v>
      </c>
      <c r="L7" s="365">
        <f>INDEX(BN_Det!$K$113:$O$117,MATCH($H7,BN_Det!$F$113:$F$117,0),MATCH(L$3,BN_Det!$K$4:$O$4,0))</f>
        <v>4020.4187083552092</v>
      </c>
      <c r="M7" s="365">
        <f>INDEX(BN_Det!$K$113:$O$117,MATCH($H7,BN_Det!$F$113:$F$117,0),MATCH(M$3,BN_Det!$K$4:$O$4,0))</f>
        <v>147.92683893805307</v>
      </c>
      <c r="N7" s="38">
        <f>$I7*INDEX(Stat_Phasing!$D$6:$K$11,MATCH($B7,Stat_Phasing!$B$6:$B$11,0),MATCH(N$4,Stat_Phasing!$D$5:$K$5))</f>
        <v>0</v>
      </c>
      <c r="O7" s="38">
        <f>$I7*INDEX(Stat_Phasing!$D$6:$K$11,MATCH($B7,Stat_Phasing!$B$6:$B$11,0),MATCH(O$4,Stat_Phasing!$D$5:$K$5))</f>
        <v>0</v>
      </c>
      <c r="P7" s="38">
        <f>$I7*INDEX(Stat_Phasing!$D$6:$K$11,MATCH($B7,Stat_Phasing!$B$6:$B$11,0),MATCH(P$4,Stat_Phasing!$D$5:$K$5))</f>
        <v>0</v>
      </c>
      <c r="Q7" s="38">
        <f>$I7*INDEX(Stat_Phasing!$D$6:$K$11,MATCH($B7,Stat_Phasing!$B$6:$B$11,0),MATCH(Q$4,Stat_Phasing!$D$5:$K$5))</f>
        <v>0</v>
      </c>
      <c r="R7" s="38">
        <f>$I7*INDEX(Stat_Phasing!$D$6:$K$11,MATCH($B7,Stat_Phasing!$B$6:$B$11,0),MATCH(R$4,Stat_Phasing!$D$5:$K$5))</f>
        <v>862.19778053097332</v>
      </c>
      <c r="S7" s="38">
        <f>$I7*INDEX(Stat_Phasing!$D$6:$K$11,MATCH($B7,Stat_Phasing!$B$6:$B$11,0),MATCH(S$4,Stat_Phasing!$D$5:$K$5))</f>
        <v>1354.882226548672</v>
      </c>
      <c r="T7" s="38">
        <f>$I7*INDEX(Stat_Phasing!$D$6:$K$11,MATCH($B7,Stat_Phasing!$B$6:$B$11,0),MATCH(T$4,Stat_Phasing!$D$5:$K$5))</f>
        <v>246.34222300884946</v>
      </c>
      <c r="U7" s="38">
        <f>$I7*INDEX(Stat_Phasing!$D$6:$K$11,MATCH($B7,Stat_Phasing!$B$6:$B$11,0),MATCH(U$4,Stat_Phasing!$D$5:$K$5))</f>
        <v>0</v>
      </c>
      <c r="V7" s="38"/>
      <c r="W7" s="38">
        <f>$J7*INDEX(Stat_Phasing!$D$15:$K$20,MATCH($B7,Stat_Phasing!$B$15:$B$20,0),MATCH(W$4,Stat_Phasing!$D$14:$K$14))</f>
        <v>0</v>
      </c>
      <c r="X7" s="38">
        <f>$J7*INDEX(Stat_Phasing!$D$15:$K$20,MATCH($B7,Stat_Phasing!$B$15:$B$20,0),MATCH(X$4,Stat_Phasing!$D$14:$K$14))</f>
        <v>0</v>
      </c>
      <c r="Y7" s="38">
        <f>$J7*INDEX(Stat_Phasing!$D$15:$K$20,MATCH($B7,Stat_Phasing!$B$15:$B$20,0),MATCH(Y$4,Stat_Phasing!$D$14:$K$14))</f>
        <v>0</v>
      </c>
      <c r="Z7" s="38">
        <f>$J7*INDEX(Stat_Phasing!$D$15:$K$20,MATCH($B7,Stat_Phasing!$B$15:$B$20,0),MATCH(Z$4,Stat_Phasing!$D$14:$K$14))</f>
        <v>73.230095766251281</v>
      </c>
      <c r="AA7" s="38">
        <f>$J7*INDEX(Stat_Phasing!$D$15:$K$20,MATCH($B7,Stat_Phasing!$B$15:$B$20,0),MATCH(AA$4,Stat_Phasing!$D$14:$K$14))</f>
        <v>263.62834475850468</v>
      </c>
      <c r="AB7" s="38">
        <f>$J7*INDEX(Stat_Phasing!$D$15:$K$20,MATCH($B7,Stat_Phasing!$B$15:$B$20,0),MATCH(AB$4,Stat_Phasing!$D$14:$K$14))</f>
        <v>351.50445967800624</v>
      </c>
      <c r="AC7" s="38">
        <f>$J7*INDEX(Stat_Phasing!$D$15:$K$20,MATCH($B7,Stat_Phasing!$B$15:$B$20,0),MATCH(AC$4,Stat_Phasing!$D$14:$K$14))</f>
        <v>92.758121303918287</v>
      </c>
      <c r="AD7" s="38">
        <f>$J7*INDEX(Stat_Phasing!$D$15:$K$20,MATCH($B7,Stat_Phasing!$B$15:$B$20,0),MATCH(AD$4,Stat_Phasing!$D$14:$K$14))</f>
        <v>0</v>
      </c>
      <c r="AE7" s="38"/>
      <c r="AF7" s="38">
        <f>$K7*INDEX(Stat_Phasing!$D$24:$K$29,MATCH($B7,Stat_Phasing!$B$24:$B$29,0),MATCH(AF$4,Stat_Phasing!$D$23:$K$23))+$L7*INDEX(Stat_Phasing!$D$33:$K$38,MATCH($B7,Stat_Phasing!$B$33:$B$38,0),MATCH(AF$4,Stat_Phasing!$D$32:$K$32))</f>
        <v>0</v>
      </c>
      <c r="AG7" s="38">
        <f>$K7*INDEX(Stat_Phasing!$D$24:$K$29,MATCH($B7,Stat_Phasing!$B$24:$B$29,0),MATCH(AG$4,Stat_Phasing!$D$23:$K$23))+$L7*INDEX(Stat_Phasing!$D$33:$K$38,MATCH($B7,Stat_Phasing!$B$33:$B$38,0),MATCH(AG$4,Stat_Phasing!$D$32:$K$32))</f>
        <v>0</v>
      </c>
      <c r="AH7" s="38">
        <f>$K7*INDEX(Stat_Phasing!$D$24:$K$29,MATCH($B7,Stat_Phasing!$B$24:$B$29,0),MATCH(AH$4,Stat_Phasing!$D$23:$K$23))+$L7*INDEX(Stat_Phasing!$D$33:$K$38,MATCH($B7,Stat_Phasing!$B$33:$B$38,0),MATCH(AH$4,Stat_Phasing!$D$32:$K$32))</f>
        <v>0</v>
      </c>
      <c r="AI7" s="38">
        <f>$K7*INDEX(Stat_Phasing!$D$24:$K$29,MATCH($B7,Stat_Phasing!$B$24:$B$29,0),MATCH(AI$4,Stat_Phasing!$D$23:$K$23))+$L7*INDEX(Stat_Phasing!$D$33:$K$38,MATCH($B7,Stat_Phasing!$B$33:$B$38,0),MATCH(AI$4,Stat_Phasing!$D$32:$K$32))</f>
        <v>209.8913865885078</v>
      </c>
      <c r="AJ7" s="38">
        <f>$K7*INDEX(Stat_Phasing!$D$24:$K$29,MATCH($B7,Stat_Phasing!$B$24:$B$29,0),MATCH(AJ$4,Stat_Phasing!$D$23:$K$23))+$L7*INDEX(Stat_Phasing!$D$33:$K$38,MATCH($B7,Stat_Phasing!$B$33:$B$38,0),MATCH(AJ$4,Stat_Phasing!$D$32:$K$32))</f>
        <v>2404.6571149637375</v>
      </c>
      <c r="AK7" s="38">
        <f>$K7*INDEX(Stat_Phasing!$D$24:$K$29,MATCH($B7,Stat_Phasing!$B$24:$B$29,0),MATCH(AK$4,Stat_Phasing!$D$23:$K$23))+$L7*INDEX(Stat_Phasing!$D$33:$K$38,MATCH($B7,Stat_Phasing!$B$33:$B$38,0),MATCH(AK$4,Stat_Phasing!$D$32:$K$32))</f>
        <v>2010.2093541776046</v>
      </c>
      <c r="AL7" s="38">
        <f>$K7*INDEX(Stat_Phasing!$D$24:$K$29,MATCH($B7,Stat_Phasing!$B$24:$B$29,0),MATCH(AL$4,Stat_Phasing!$D$23:$K$23))+$L7*INDEX(Stat_Phasing!$D$33:$K$38,MATCH($B7,Stat_Phasing!$B$33:$B$38,0),MATCH(AL$4,Stat_Phasing!$D$32:$K$32))</f>
        <v>445.11778556789824</v>
      </c>
      <c r="AM7" s="38">
        <f>$K7*INDEX(Stat_Phasing!$D$24:$K$29,MATCH($B7,Stat_Phasing!$B$24:$B$29,0),MATCH(AM$4,Stat_Phasing!$D$23:$K$23))+$L7*INDEX(Stat_Phasing!$D$33:$K$38,MATCH($B7,Stat_Phasing!$B$33:$B$38,0),MATCH(AM$4,Stat_Phasing!$D$32:$K$32))</f>
        <v>0</v>
      </c>
      <c r="AN7" s="38"/>
      <c r="AO7" s="38">
        <f>$M7*INDEX(Stat_Phasing!$D$42:$K$47,MATCH($B7,Stat_Phasing!$B$42:$B$47,0),MATCH(AO$4,Stat_Phasing!$D$41:$K$41))</f>
        <v>0</v>
      </c>
      <c r="AP7" s="38">
        <f>$M7*INDEX(Stat_Phasing!$D$42:$K$47,MATCH($B7,Stat_Phasing!$B$42:$B$47,0),MATCH(AP$4,Stat_Phasing!$D$41:$K$41))</f>
        <v>0</v>
      </c>
      <c r="AQ7" s="38">
        <f>$M7*INDEX(Stat_Phasing!$D$42:$K$47,MATCH($B7,Stat_Phasing!$B$42:$B$47,0),MATCH(AQ$4,Stat_Phasing!$D$41:$K$41))</f>
        <v>0</v>
      </c>
      <c r="AR7" s="38">
        <f>$M7*INDEX(Stat_Phasing!$D$42:$K$47,MATCH($B7,Stat_Phasing!$B$42:$B$47,0),MATCH(AR$4,Stat_Phasing!$D$41:$K$41))</f>
        <v>0</v>
      </c>
      <c r="AS7" s="38">
        <f>$M7*INDEX(Stat_Phasing!$D$42:$K$47,MATCH($B7,Stat_Phasing!$B$42:$B$47,0),MATCH(AS$4,Stat_Phasing!$D$41:$K$41))</f>
        <v>63.397216687737028</v>
      </c>
      <c r="AT7" s="38">
        <f>$M7*INDEX(Stat_Phasing!$D$42:$K$47,MATCH($B7,Stat_Phasing!$B$42:$B$47,0),MATCH(AT$4,Stat_Phasing!$D$41:$K$41))</f>
        <v>63.397216687737028</v>
      </c>
      <c r="AU7" s="38">
        <f>$M7*INDEX(Stat_Phasing!$D$42:$K$47,MATCH($B7,Stat_Phasing!$B$42:$B$47,0),MATCH(AU$4,Stat_Phasing!$D$41:$K$41))</f>
        <v>21.132405562579013</v>
      </c>
      <c r="AV7" s="38">
        <f>$M7*INDEX(Stat_Phasing!$D$42:$K$47,MATCH($B7,Stat_Phasing!$B$42:$B$47,0),MATCH(AV$4,Stat_Phasing!$D$41:$K$41))</f>
        <v>0</v>
      </c>
      <c r="AW7" s="6"/>
      <c r="AX7" s="6">
        <f t="shared" ref="AX7:BB8" si="0">N7+W7+AF7+AO7</f>
        <v>0</v>
      </c>
      <c r="AY7" s="6">
        <f t="shared" si="0"/>
        <v>0</v>
      </c>
      <c r="AZ7" s="6">
        <f t="shared" si="0"/>
        <v>0</v>
      </c>
      <c r="BA7" s="6">
        <f t="shared" si="0"/>
        <v>283.12148235475911</v>
      </c>
      <c r="BB7" s="6">
        <f t="shared" si="0"/>
        <v>3593.8804569409526</v>
      </c>
      <c r="BC7" s="6">
        <f t="shared" ref="BC7:BC26" si="1">S7+AB7+AK7+AT7</f>
        <v>3779.9932570920196</v>
      </c>
      <c r="BD7" s="6">
        <f t="shared" ref="BD7:BD26" si="2">T7+AC7+AL7+AU7</f>
        <v>805.35053544324501</v>
      </c>
      <c r="BE7" s="6">
        <f t="shared" ref="BE7:BE26" si="3">U7+AD7+AM7+AV7</f>
        <v>0</v>
      </c>
      <c r="BG7" s="14">
        <f t="shared" ref="BG7:BG26" si="4">SUM(AX7:BE7)</f>
        <v>8462.3457318309775</v>
      </c>
      <c r="BH7" s="38">
        <f>BG7-SUM(I7:M7)</f>
        <v>0</v>
      </c>
      <c r="BJ7" s="38">
        <f>SUMIFS($N7:$U7,$N$4:$U$4,"&lt;=2020")</f>
        <v>862.19778053097332</v>
      </c>
      <c r="BK7" s="38">
        <f>SUMIFS($W7:$AD7,$W$4:$AD$4,"&lt;=2020")</f>
        <v>336.85844052475596</v>
      </c>
      <c r="BL7" s="38">
        <f>SUMIFS($K7,$C7,"&lt;=31/12/2020")</f>
        <v>1049.456932942539</v>
      </c>
      <c r="BM7" s="38">
        <f>SUMIFS($AF7:$AM7,$AF$4:$AM$4,"&lt;=2020")-BL7</f>
        <v>1565.0915686097064</v>
      </c>
      <c r="BN7" s="38">
        <f>SUMIFS($AO7:$AV7,$AO$4:$AV$4,"&lt;=2020")</f>
        <v>63.397216687737028</v>
      </c>
      <c r="BO7" s="38"/>
      <c r="BP7" s="38"/>
      <c r="BQ7" s="38"/>
      <c r="BR7" s="38"/>
      <c r="BT7" s="16"/>
      <c r="BU7" s="16"/>
      <c r="BV7" s="16"/>
      <c r="BW7" s="16"/>
    </row>
    <row r="8" spans="2:75" x14ac:dyDescent="0.25">
      <c r="B8" s="164" t="str">
        <f>STN_1</f>
        <v>BN</v>
      </c>
      <c r="C8" s="17">
        <f>INDEX(Schedule!$C$4:$E$9,MATCH($B8,Schedule!$B$4:$B$9,0),1)</f>
        <v>43692</v>
      </c>
      <c r="D8" s="17">
        <f>INDEX(Schedule!$C$4:$E$9,MATCH($B8,Schedule!$B$4:$B$9,0),2)</f>
        <v>44105</v>
      </c>
      <c r="E8" s="17">
        <f>INDEX(Schedule!$C$4:$E$9,MATCH($B8,Schedule!$B$4:$B$9,0),3)</f>
        <v>44715</v>
      </c>
      <c r="F8" s="677" t="s">
        <v>42</v>
      </c>
      <c r="G8" s="676" t="s">
        <v>22</v>
      </c>
      <c r="H8" s="676" t="str">
        <f t="shared" ref="H8:H25" si="5">G8&amp;F8</f>
        <v>SCADA/Network controlAugmentation</v>
      </c>
      <c r="I8" s="365">
        <f>INDEX(BN_Det!$K$113:$O$117,MATCH($H8,BN_Det!$F$113:$F$117,0),MATCH(I$3,BN_Det!$K$4:$O$4,0))</f>
        <v>1801.1146406525527</v>
      </c>
      <c r="J8" s="365">
        <f>INDEX(BN_Det!$K$113:$O$117,MATCH($H8,BN_Det!$F$113:$F$117,0),MATCH(J$3,BN_Det!$K$4:$O$4,0))</f>
        <v>272.11020086452879</v>
      </c>
      <c r="K8" s="365">
        <f>INDEX(BN_Det!$K$113:$O$117,MATCH($H8,BN_Det!$F$113:$F$117,0),MATCH(K$3,BN_Det!$K$4:$O$4,0))</f>
        <v>365.58731484507138</v>
      </c>
      <c r="L8" s="365">
        <f>INDEX(BN_Det!$K$113:$O$117,MATCH($H8,BN_Det!$F$113:$F$117,0),MATCH(L$3,BN_Det!$K$4:$O$4,0))</f>
        <v>505.55976977761713</v>
      </c>
      <c r="M8" s="365">
        <f>INDEX(BN_Det!$K$113:$O$117,MATCH($H8,BN_Det!$F$113:$F$117,0),MATCH(M$3,BN_Det!$K$4:$O$4,0))</f>
        <v>3.5587190143255261</v>
      </c>
      <c r="N8" s="38">
        <f>$I8*INDEX(Stat_Phasing!$D$6:$K$11,MATCH($B8,Stat_Phasing!$B$6:$B$11,0),MATCH(N$4,Stat_Phasing!$D$5:$K$5))</f>
        <v>0</v>
      </c>
      <c r="O8" s="38">
        <f>$I8*INDEX(Stat_Phasing!$D$6:$K$11,MATCH($B8,Stat_Phasing!$B$6:$B$11,0),MATCH(O$4,Stat_Phasing!$D$5:$K$5))</f>
        <v>0</v>
      </c>
      <c r="P8" s="38">
        <f>$I8*INDEX(Stat_Phasing!$D$6:$K$11,MATCH($B8,Stat_Phasing!$B$6:$B$11,0),MATCH(P$4,Stat_Phasing!$D$5:$K$5))</f>
        <v>0</v>
      </c>
      <c r="Q8" s="38">
        <f>$I8*INDEX(Stat_Phasing!$D$6:$K$11,MATCH($B8,Stat_Phasing!$B$6:$B$11,0),MATCH(Q$4,Stat_Phasing!$D$5:$K$5))</f>
        <v>0</v>
      </c>
      <c r="R8" s="38">
        <f>$I8*INDEX(Stat_Phasing!$D$6:$K$11,MATCH($B8,Stat_Phasing!$B$6:$B$11,0),MATCH(R$4,Stat_Phasing!$D$5:$K$5))</f>
        <v>630.39012422839346</v>
      </c>
      <c r="S8" s="38">
        <f>$I8*INDEX(Stat_Phasing!$D$6:$K$11,MATCH($B8,Stat_Phasing!$B$6:$B$11,0),MATCH(S$4,Stat_Phasing!$D$5:$K$5))</f>
        <v>990.61305235890381</v>
      </c>
      <c r="T8" s="38">
        <f>$I8*INDEX(Stat_Phasing!$D$6:$K$11,MATCH($B8,Stat_Phasing!$B$6:$B$11,0),MATCH(T$4,Stat_Phasing!$D$5:$K$5))</f>
        <v>180.11146406525526</v>
      </c>
      <c r="U8" s="38">
        <f>$I8*INDEX(Stat_Phasing!$D$6:$K$11,MATCH($B8,Stat_Phasing!$B$6:$B$11,0),MATCH(U$4,Stat_Phasing!$D$5:$K$5))</f>
        <v>0</v>
      </c>
      <c r="V8" s="38"/>
      <c r="W8" s="38">
        <f>$J8*INDEX(Stat_Phasing!$D$15:$K$20,MATCH($B8,Stat_Phasing!$B$15:$B$20,0),MATCH(W$4,Stat_Phasing!$D$14:$K$14))</f>
        <v>0</v>
      </c>
      <c r="X8" s="38">
        <f>$J8*INDEX(Stat_Phasing!$D$15:$K$20,MATCH($B8,Stat_Phasing!$B$15:$B$20,0),MATCH(X$4,Stat_Phasing!$D$14:$K$14))</f>
        <v>0</v>
      </c>
      <c r="Y8" s="38">
        <f>$J8*INDEX(Stat_Phasing!$D$15:$K$20,MATCH($B8,Stat_Phasing!$B$15:$B$20,0),MATCH(Y$4,Stat_Phasing!$D$14:$K$14))</f>
        <v>0</v>
      </c>
      <c r="Z8" s="38">
        <f>$J8*INDEX(Stat_Phasing!$D$15:$K$20,MATCH($B8,Stat_Phasing!$B$15:$B$20,0),MATCH(Z$4,Stat_Phasing!$D$14:$K$14))</f>
        <v>25.510331331049571</v>
      </c>
      <c r="AA8" s="38">
        <f>$J8*INDEX(Stat_Phasing!$D$15:$K$20,MATCH($B8,Stat_Phasing!$B$15:$B$20,0),MATCH(AA$4,Stat_Phasing!$D$14:$K$14))</f>
        <v>91.837192791778477</v>
      </c>
      <c r="AB8" s="38">
        <f>$J8*INDEX(Stat_Phasing!$D$15:$K$20,MATCH($B8,Stat_Phasing!$B$15:$B$20,0),MATCH(AB$4,Stat_Phasing!$D$14:$K$14))</f>
        <v>122.44959038903798</v>
      </c>
      <c r="AC8" s="38">
        <f>$J8*INDEX(Stat_Phasing!$D$15:$K$20,MATCH($B8,Stat_Phasing!$B$15:$B$20,0),MATCH(AC$4,Stat_Phasing!$D$14:$K$14))</f>
        <v>32.313086352662786</v>
      </c>
      <c r="AD8" s="38">
        <f>$J8*INDEX(Stat_Phasing!$D$15:$K$20,MATCH($B8,Stat_Phasing!$B$15:$B$20,0),MATCH(AD$4,Stat_Phasing!$D$14:$K$14))</f>
        <v>0</v>
      </c>
      <c r="AE8" s="38"/>
      <c r="AF8" s="38">
        <f>$K8*INDEX(Stat_Phasing!$D$24:$K$29,MATCH($B8,Stat_Phasing!$B$24:$B$29,0),MATCH(AF$4,Stat_Phasing!$D$23:$K$23))+$L8*INDEX(Stat_Phasing!$D$33:$K$38,MATCH($B8,Stat_Phasing!$B$33:$B$38,0),MATCH(AF$4,Stat_Phasing!$D$32:$K$32))</f>
        <v>0</v>
      </c>
      <c r="AG8" s="38">
        <f>$K8*INDEX(Stat_Phasing!$D$24:$K$29,MATCH($B8,Stat_Phasing!$B$24:$B$29,0),MATCH(AG$4,Stat_Phasing!$D$23:$K$23))+$L8*INDEX(Stat_Phasing!$D$33:$K$38,MATCH($B8,Stat_Phasing!$B$33:$B$38,0),MATCH(AG$4,Stat_Phasing!$D$32:$K$32))</f>
        <v>0</v>
      </c>
      <c r="AH8" s="38">
        <f>$K8*INDEX(Stat_Phasing!$D$24:$K$29,MATCH($B8,Stat_Phasing!$B$24:$B$29,0),MATCH(AH$4,Stat_Phasing!$D$23:$K$23))+$L8*INDEX(Stat_Phasing!$D$33:$K$38,MATCH($B8,Stat_Phasing!$B$33:$B$38,0),MATCH(AH$4,Stat_Phasing!$D$32:$K$32))</f>
        <v>0</v>
      </c>
      <c r="AI8" s="38">
        <f>$K8*INDEX(Stat_Phasing!$D$24:$K$29,MATCH($B8,Stat_Phasing!$B$24:$B$29,0),MATCH(AI$4,Stat_Phasing!$D$23:$K$23))+$L8*INDEX(Stat_Phasing!$D$33:$K$38,MATCH($B8,Stat_Phasing!$B$33:$B$38,0),MATCH(AI$4,Stat_Phasing!$D$32:$K$32))</f>
        <v>73.117462969014284</v>
      </c>
      <c r="AJ8" s="38">
        <f>$K8*INDEX(Stat_Phasing!$D$24:$K$29,MATCH($B8,Stat_Phasing!$B$24:$B$29,0),MATCH(AJ$4,Stat_Phasing!$D$23:$K$23))+$L8*INDEX(Stat_Phasing!$D$33:$K$38,MATCH($B8,Stat_Phasing!$B$33:$B$38,0),MATCH(AJ$4,Stat_Phasing!$D$32:$K$32))</f>
        <v>489.27704796805813</v>
      </c>
      <c r="AK8" s="38">
        <f>$K8*INDEX(Stat_Phasing!$D$24:$K$29,MATCH($B8,Stat_Phasing!$B$24:$B$29,0),MATCH(AK$4,Stat_Phasing!$D$23:$K$23))+$L8*INDEX(Stat_Phasing!$D$33:$K$38,MATCH($B8,Stat_Phasing!$B$33:$B$38,0),MATCH(AK$4,Stat_Phasing!$D$32:$K$32))</f>
        <v>252.77988488880857</v>
      </c>
      <c r="AL8" s="38">
        <f>$K8*INDEX(Stat_Phasing!$D$24:$K$29,MATCH($B8,Stat_Phasing!$B$24:$B$29,0),MATCH(AL$4,Stat_Phasing!$D$23:$K$23))+$L8*INDEX(Stat_Phasing!$D$33:$K$38,MATCH($B8,Stat_Phasing!$B$33:$B$38,0),MATCH(AL$4,Stat_Phasing!$D$32:$K$32))</f>
        <v>55.972688796807624</v>
      </c>
      <c r="AM8" s="38">
        <f>$K8*INDEX(Stat_Phasing!$D$24:$K$29,MATCH($B8,Stat_Phasing!$B$24:$B$29,0),MATCH(AM$4,Stat_Phasing!$D$23:$K$23))+$L8*INDEX(Stat_Phasing!$D$33:$K$38,MATCH($B8,Stat_Phasing!$B$33:$B$38,0),MATCH(AM$4,Stat_Phasing!$D$32:$K$32))</f>
        <v>0</v>
      </c>
      <c r="AN8" s="38"/>
      <c r="AO8" s="38">
        <f>$M8*INDEX(Stat_Phasing!$D$42:$K$47,MATCH($B8,Stat_Phasing!$B$42:$B$47,0),MATCH(AO$4,Stat_Phasing!$D$41:$K$41))</f>
        <v>0</v>
      </c>
      <c r="AP8" s="38">
        <f>$M8*INDEX(Stat_Phasing!$D$42:$K$47,MATCH($B8,Stat_Phasing!$B$42:$B$47,0),MATCH(AP$4,Stat_Phasing!$D$41:$K$41))</f>
        <v>0</v>
      </c>
      <c r="AQ8" s="38">
        <f>$M8*INDEX(Stat_Phasing!$D$42:$K$47,MATCH($B8,Stat_Phasing!$B$42:$B$47,0),MATCH(AQ$4,Stat_Phasing!$D$41:$K$41))</f>
        <v>0</v>
      </c>
      <c r="AR8" s="38">
        <f>$M8*INDEX(Stat_Phasing!$D$42:$K$47,MATCH($B8,Stat_Phasing!$B$42:$B$47,0),MATCH(AR$4,Stat_Phasing!$D$41:$K$41))</f>
        <v>0</v>
      </c>
      <c r="AS8" s="38">
        <f>$M8*INDEX(Stat_Phasing!$D$42:$K$47,MATCH($B8,Stat_Phasing!$B$42:$B$47,0),MATCH(AS$4,Stat_Phasing!$D$41:$K$41))</f>
        <v>1.5251652918537968</v>
      </c>
      <c r="AT8" s="38">
        <f>$M8*INDEX(Stat_Phasing!$D$42:$K$47,MATCH($B8,Stat_Phasing!$B$42:$B$47,0),MATCH(AT$4,Stat_Phasing!$D$41:$K$41))</f>
        <v>1.5251652918537968</v>
      </c>
      <c r="AU8" s="38">
        <f>$M8*INDEX(Stat_Phasing!$D$42:$K$47,MATCH($B8,Stat_Phasing!$B$42:$B$47,0),MATCH(AU$4,Stat_Phasing!$D$41:$K$41))</f>
        <v>0.50838843061793237</v>
      </c>
      <c r="AV8" s="38">
        <f>$M8*INDEX(Stat_Phasing!$D$42:$K$47,MATCH($B8,Stat_Phasing!$B$42:$B$47,0),MATCH(AV$4,Stat_Phasing!$D$41:$K$41))</f>
        <v>0</v>
      </c>
      <c r="AW8" s="6"/>
      <c r="AX8" s="6">
        <f t="shared" si="0"/>
        <v>0</v>
      </c>
      <c r="AY8" s="6">
        <f t="shared" si="0"/>
        <v>0</v>
      </c>
      <c r="AZ8" s="6">
        <f t="shared" si="0"/>
        <v>0</v>
      </c>
      <c r="BA8" s="6">
        <f t="shared" si="0"/>
        <v>98.627794300063854</v>
      </c>
      <c r="BB8" s="6">
        <f t="shared" si="0"/>
        <v>1213.0295302800839</v>
      </c>
      <c r="BC8" s="6">
        <f t="shared" si="1"/>
        <v>1367.3676929286041</v>
      </c>
      <c r="BD8" s="6">
        <f t="shared" si="2"/>
        <v>268.9056276453436</v>
      </c>
      <c r="BE8" s="6">
        <f t="shared" si="3"/>
        <v>0</v>
      </c>
      <c r="BG8" s="14">
        <f t="shared" si="4"/>
        <v>2947.9306451540956</v>
      </c>
      <c r="BH8" s="38">
        <f t="shared" ref="BH8:BH26" si="6">BG8-SUM(I8:M8)</f>
        <v>0</v>
      </c>
      <c r="BJ8" s="38">
        <f t="shared" ref="BJ8:BJ26" si="7">SUMIFS($N8:$U8,$N$4:$U$4,"&lt;=2020")</f>
        <v>630.39012422839346</v>
      </c>
      <c r="BK8" s="38">
        <f t="shared" ref="BK8:BK26" si="8">SUMIFS($W8:$AD8,$W$4:$AD$4,"&lt;=2020")</f>
        <v>117.34752412282805</v>
      </c>
      <c r="BL8" s="38">
        <f t="shared" ref="BL8:BL26" si="9">SUMIFS($K8,$C8,"&lt;=31/12/2020")</f>
        <v>365.58731484507138</v>
      </c>
      <c r="BM8" s="38">
        <f t="shared" ref="BM8:BM26" si="10">SUMIFS($AF8:$AM8,$AF$4:$AM$4,"&lt;=2020")-BL8</f>
        <v>196.80719609200099</v>
      </c>
      <c r="BN8" s="38">
        <f t="shared" ref="BN8:BN26" si="11">SUMIFS($AO8:$AV8,$AO$4:$AV$4,"&lt;=2020")</f>
        <v>1.5251652918537968</v>
      </c>
      <c r="BO8" s="38"/>
      <c r="BP8" s="38"/>
      <c r="BQ8" s="38"/>
      <c r="BR8" s="38"/>
      <c r="BT8" s="16"/>
      <c r="BU8" s="16"/>
      <c r="BV8" s="16"/>
      <c r="BW8" s="16"/>
    </row>
    <row r="9" spans="2:75" x14ac:dyDescent="0.25">
      <c r="B9" s="164" t="str">
        <f>STN_1</f>
        <v>BN</v>
      </c>
      <c r="C9" s="17">
        <f>INDEX(Schedule!$C$4:$E$9,MATCH($B9,Schedule!$B$4:$B$9,0),1)</f>
        <v>43692</v>
      </c>
      <c r="D9" s="17">
        <f>INDEX(Schedule!$C$4:$E$9,MATCH($B9,Schedule!$B$4:$B$9,0),2)</f>
        <v>44105</v>
      </c>
      <c r="E9" s="17">
        <f>INDEX(Schedule!$C$4:$E$9,MATCH($B9,Schedule!$B$4:$B$9,0),3)</f>
        <v>44715</v>
      </c>
      <c r="F9" s="676" t="s">
        <v>83</v>
      </c>
      <c r="G9" s="676" t="s">
        <v>211</v>
      </c>
      <c r="H9" s="676" t="str">
        <f>G9&amp;F9</f>
        <v>LandNon-Network</v>
      </c>
      <c r="I9" s="365">
        <f>INDEX(BN_Det!$K$113:$O$117,MATCH($H9,BN_Det!$F$113:$F$117,0),MATCH(I$3,BN_Det!$K$4:$O$4,0))</f>
        <v>0</v>
      </c>
      <c r="J9" s="365">
        <f>INDEX(BN_Det!$K$113:$O$117,MATCH($H9,BN_Det!$F$113:$F$117,0),MATCH(J$3,BN_Det!$K$4:$O$4,0))</f>
        <v>0</v>
      </c>
      <c r="K9" s="365">
        <f>INDEX(BN_Det!$K$113:$O$117,MATCH($H9,BN_Det!$F$113:$F$117,0),MATCH(K$3,BN_Det!$K$4:$O$4,0))</f>
        <v>0</v>
      </c>
      <c r="L9" s="365">
        <f>INDEX(BN_Det!$K$113:$O$117,MATCH($H9,BN_Det!$F$113:$F$117,0),MATCH(L$3,BN_Det!$K$4:$O$4,0))</f>
        <v>0</v>
      </c>
      <c r="M9" s="365">
        <f>INDEX(BN_Det!$K$113:$O$117,MATCH($H9,BN_Det!$F$113:$F$117,0),MATCH(M$3,BN_Det!$K$4:$O$4,0))</f>
        <v>0</v>
      </c>
      <c r="N9" s="38">
        <f>$I9*INDEX(Stat_Phasing!$D$6:$K$11,MATCH($B9,Stat_Phasing!$B$6:$B$11,0),MATCH(N$4,Stat_Phasing!$D$5:$K$5))</f>
        <v>0</v>
      </c>
      <c r="O9" s="38">
        <f>$I9*INDEX(Stat_Phasing!$D$6:$K$11,MATCH($B9,Stat_Phasing!$B$6:$B$11,0),MATCH(O$4,Stat_Phasing!$D$5:$K$5))</f>
        <v>0</v>
      </c>
      <c r="P9" s="38">
        <f>$I9*INDEX(Stat_Phasing!$D$6:$K$11,MATCH($B9,Stat_Phasing!$B$6:$B$11,0),MATCH(P$4,Stat_Phasing!$D$5:$K$5))</f>
        <v>0</v>
      </c>
      <c r="Q9" s="38">
        <f>$I9*INDEX(Stat_Phasing!$D$6:$K$11,MATCH($B9,Stat_Phasing!$B$6:$B$11,0),MATCH(Q$4,Stat_Phasing!$D$5:$K$5))</f>
        <v>0</v>
      </c>
      <c r="R9" s="38">
        <f>$I9*INDEX(Stat_Phasing!$D$6:$K$11,MATCH($B9,Stat_Phasing!$B$6:$B$11,0),MATCH(R$4,Stat_Phasing!$D$5:$K$5))</f>
        <v>0</v>
      </c>
      <c r="S9" s="38">
        <f>$I9*INDEX(Stat_Phasing!$D$6:$K$11,MATCH($B9,Stat_Phasing!$B$6:$B$11,0),MATCH(S$4,Stat_Phasing!$D$5:$K$5))</f>
        <v>0</v>
      </c>
      <c r="T9" s="38">
        <f>$I9*INDEX(Stat_Phasing!$D$6:$K$11,MATCH($B9,Stat_Phasing!$B$6:$B$11,0),MATCH(T$4,Stat_Phasing!$D$5:$K$5))</f>
        <v>0</v>
      </c>
      <c r="U9" s="38">
        <f>$I9*INDEX(Stat_Phasing!$D$6:$K$11,MATCH($B9,Stat_Phasing!$B$6:$B$11,0),MATCH(U$4,Stat_Phasing!$D$5:$K$5))</f>
        <v>0</v>
      </c>
      <c r="V9" s="38"/>
      <c r="W9" s="38">
        <f>$J9*INDEX(Stat_Phasing!$D$15:$K$20,MATCH($B9,Stat_Phasing!$B$15:$B$20,0),MATCH(W$4,Stat_Phasing!$D$14:$K$14))</f>
        <v>0</v>
      </c>
      <c r="X9" s="38">
        <f>$J9*INDEX(Stat_Phasing!$D$15:$K$20,MATCH($B9,Stat_Phasing!$B$15:$B$20,0),MATCH(X$4,Stat_Phasing!$D$14:$K$14))</f>
        <v>0</v>
      </c>
      <c r="Y9" s="38">
        <f>$J9*INDEX(Stat_Phasing!$D$15:$K$20,MATCH($B9,Stat_Phasing!$B$15:$B$20,0),MATCH(Y$4,Stat_Phasing!$D$14:$K$14))</f>
        <v>0</v>
      </c>
      <c r="Z9" s="38">
        <f>$J9*INDEX(Stat_Phasing!$D$15:$K$20,MATCH($B9,Stat_Phasing!$B$15:$B$20,0),MATCH(Z$4,Stat_Phasing!$D$14:$K$14))</f>
        <v>0</v>
      </c>
      <c r="AA9" s="38">
        <f>$J9*INDEX(Stat_Phasing!$D$15:$K$20,MATCH($B9,Stat_Phasing!$B$15:$B$20,0),MATCH(AA$4,Stat_Phasing!$D$14:$K$14))</f>
        <v>0</v>
      </c>
      <c r="AB9" s="38">
        <f>$J9*INDEX(Stat_Phasing!$D$15:$K$20,MATCH($B9,Stat_Phasing!$B$15:$B$20,0),MATCH(AB$4,Stat_Phasing!$D$14:$K$14))</f>
        <v>0</v>
      </c>
      <c r="AC9" s="38">
        <f>$J9*INDEX(Stat_Phasing!$D$15:$K$20,MATCH($B9,Stat_Phasing!$B$15:$B$20,0),MATCH(AC$4,Stat_Phasing!$D$14:$K$14))</f>
        <v>0</v>
      </c>
      <c r="AD9" s="38">
        <f>$J9*INDEX(Stat_Phasing!$D$15:$K$20,MATCH($B9,Stat_Phasing!$B$15:$B$20,0),MATCH(AD$4,Stat_Phasing!$D$14:$K$14))</f>
        <v>0</v>
      </c>
      <c r="AE9" s="38"/>
      <c r="AF9" s="38">
        <f>$K9*INDEX(Stat_Phasing!$D$24:$K$29,MATCH($B9,Stat_Phasing!$B$24:$B$29,0),MATCH(AF$4,Stat_Phasing!$D$23:$K$23))+$L9*INDEX(Stat_Phasing!$D$33:$K$38,MATCH($B9,Stat_Phasing!$B$33:$B$38,0),MATCH(AF$4,Stat_Phasing!$D$32:$K$32))</f>
        <v>0</v>
      </c>
      <c r="AG9" s="38">
        <f>$K9*INDEX(Stat_Phasing!$D$24:$K$29,MATCH($B9,Stat_Phasing!$B$24:$B$29,0),MATCH(AG$4,Stat_Phasing!$D$23:$K$23))+$L9*INDEX(Stat_Phasing!$D$33:$K$38,MATCH($B9,Stat_Phasing!$B$33:$B$38,0),MATCH(AG$4,Stat_Phasing!$D$32:$K$32))</f>
        <v>0</v>
      </c>
      <c r="AH9" s="38">
        <f>$K9*INDEX(Stat_Phasing!$D$24:$K$29,MATCH($B9,Stat_Phasing!$B$24:$B$29,0),MATCH(AH$4,Stat_Phasing!$D$23:$K$23))+$L9*INDEX(Stat_Phasing!$D$33:$K$38,MATCH($B9,Stat_Phasing!$B$33:$B$38,0),MATCH(AH$4,Stat_Phasing!$D$32:$K$32))</f>
        <v>0</v>
      </c>
      <c r="AI9" s="38">
        <f>$K9*INDEX(Stat_Phasing!$D$24:$K$29,MATCH($B9,Stat_Phasing!$B$24:$B$29,0),MATCH(AI$4,Stat_Phasing!$D$23:$K$23))+$L9*INDEX(Stat_Phasing!$D$33:$K$38,MATCH($B9,Stat_Phasing!$B$33:$B$38,0),MATCH(AI$4,Stat_Phasing!$D$32:$K$32))</f>
        <v>0</v>
      </c>
      <c r="AJ9" s="38">
        <f>$K9*INDEX(Stat_Phasing!$D$24:$K$29,MATCH($B9,Stat_Phasing!$B$24:$B$29,0),MATCH(AJ$4,Stat_Phasing!$D$23:$K$23))+$L9*INDEX(Stat_Phasing!$D$33:$K$38,MATCH($B9,Stat_Phasing!$B$33:$B$38,0),MATCH(AJ$4,Stat_Phasing!$D$32:$K$32))</f>
        <v>0</v>
      </c>
      <c r="AK9" s="38">
        <f>$K9*INDEX(Stat_Phasing!$D$24:$K$29,MATCH($B9,Stat_Phasing!$B$24:$B$29,0),MATCH(AK$4,Stat_Phasing!$D$23:$K$23))+$L9*INDEX(Stat_Phasing!$D$33:$K$38,MATCH($B9,Stat_Phasing!$B$33:$B$38,0),MATCH(AK$4,Stat_Phasing!$D$32:$K$32))</f>
        <v>0</v>
      </c>
      <c r="AL9" s="38">
        <f>$K9*INDEX(Stat_Phasing!$D$24:$K$29,MATCH($B9,Stat_Phasing!$B$24:$B$29,0),MATCH(AL$4,Stat_Phasing!$D$23:$K$23))+$L9*INDEX(Stat_Phasing!$D$33:$K$38,MATCH($B9,Stat_Phasing!$B$33:$B$38,0),MATCH(AL$4,Stat_Phasing!$D$32:$K$32))</f>
        <v>0</v>
      </c>
      <c r="AM9" s="38">
        <f>$K9*INDEX(Stat_Phasing!$D$24:$K$29,MATCH($B9,Stat_Phasing!$B$24:$B$29,0),MATCH(AM$4,Stat_Phasing!$D$23:$K$23))+$L9*INDEX(Stat_Phasing!$D$33:$K$38,MATCH($B9,Stat_Phasing!$B$33:$B$38,0),MATCH(AM$4,Stat_Phasing!$D$32:$K$32))</f>
        <v>0</v>
      </c>
      <c r="AN9" s="38"/>
      <c r="AO9" s="38">
        <f>$M9*INDEX(Stat_Phasing!$D$42:$K$47,MATCH($B9,Stat_Phasing!$B$42:$B$47,0),MATCH(AO$4,Stat_Phasing!$D$41:$K$41))</f>
        <v>0</v>
      </c>
      <c r="AP9" s="38">
        <f>$M9*INDEX(Stat_Phasing!$D$42:$K$47,MATCH($B9,Stat_Phasing!$B$42:$B$47,0),MATCH(AP$4,Stat_Phasing!$D$41:$K$41))</f>
        <v>0</v>
      </c>
      <c r="AQ9" s="38">
        <f>$M9*INDEX(Stat_Phasing!$D$42:$K$47,MATCH($B9,Stat_Phasing!$B$42:$B$47,0),MATCH(AQ$4,Stat_Phasing!$D$41:$K$41))</f>
        <v>0</v>
      </c>
      <c r="AR9" s="38">
        <f>$M9*INDEX(Stat_Phasing!$D$42:$K$47,MATCH($B9,Stat_Phasing!$B$42:$B$47,0),MATCH(AR$4,Stat_Phasing!$D$41:$K$41))</f>
        <v>0</v>
      </c>
      <c r="AS9" s="38">
        <f>$M9*INDEX(Stat_Phasing!$D$42:$K$47,MATCH($B9,Stat_Phasing!$B$42:$B$47,0),MATCH(AS$4,Stat_Phasing!$D$41:$K$41))</f>
        <v>0</v>
      </c>
      <c r="AT9" s="38">
        <f>$M9*INDEX(Stat_Phasing!$D$42:$K$47,MATCH($B9,Stat_Phasing!$B$42:$B$47,0),MATCH(AT$4,Stat_Phasing!$D$41:$K$41))</f>
        <v>0</v>
      </c>
      <c r="AU9" s="38">
        <f>$M9*INDEX(Stat_Phasing!$D$42:$K$47,MATCH($B9,Stat_Phasing!$B$42:$B$47,0),MATCH(AU$4,Stat_Phasing!$D$41:$K$41))</f>
        <v>0</v>
      </c>
      <c r="AV9" s="38">
        <f>$M9*INDEX(Stat_Phasing!$D$42:$K$47,MATCH($B9,Stat_Phasing!$B$42:$B$47,0),MATCH(AV$4,Stat_Phasing!$D$41:$K$41))</f>
        <v>0</v>
      </c>
      <c r="AW9" s="6"/>
      <c r="AX9" s="6">
        <f t="shared" ref="AX9:AX26" si="12">N9+W9+AF9+AO9</f>
        <v>0</v>
      </c>
      <c r="AY9" s="6">
        <f t="shared" ref="AY9:AY26" si="13">O9+X9+AG9+AP9</f>
        <v>0</v>
      </c>
      <c r="AZ9" s="6">
        <f t="shared" ref="AZ9:AZ26" si="14">P9+Y9+AH9+AQ9</f>
        <v>0</v>
      </c>
      <c r="BA9" s="6">
        <f t="shared" ref="BA9:BA26" si="15">Q9+Z9+AI9+AR9</f>
        <v>0</v>
      </c>
      <c r="BB9" s="6">
        <f t="shared" ref="BB9:BB26" si="16">R9+AA9+AJ9+AS9</f>
        <v>0</v>
      </c>
      <c r="BC9" s="6">
        <f t="shared" si="1"/>
        <v>0</v>
      </c>
      <c r="BD9" s="6">
        <f t="shared" si="2"/>
        <v>0</v>
      </c>
      <c r="BE9" s="6">
        <f t="shared" si="3"/>
        <v>0</v>
      </c>
      <c r="BG9" s="14">
        <f t="shared" si="4"/>
        <v>0</v>
      </c>
      <c r="BH9" s="38">
        <f t="shared" si="6"/>
        <v>0</v>
      </c>
      <c r="BJ9" s="38">
        <f t="shared" si="7"/>
        <v>0</v>
      </c>
      <c r="BK9" s="38">
        <f t="shared" si="8"/>
        <v>0</v>
      </c>
      <c r="BL9" s="38">
        <f t="shared" si="9"/>
        <v>0</v>
      </c>
      <c r="BM9" s="38">
        <f t="shared" si="10"/>
        <v>0</v>
      </c>
      <c r="BN9" s="38">
        <f t="shared" si="11"/>
        <v>0</v>
      </c>
      <c r="BO9" s="38"/>
      <c r="BP9" s="38"/>
      <c r="BQ9" s="38"/>
      <c r="BR9" s="38"/>
      <c r="BT9" s="16"/>
      <c r="BU9" s="16"/>
      <c r="BV9" s="16"/>
      <c r="BW9" s="16"/>
    </row>
    <row r="10" spans="2:75" x14ac:dyDescent="0.25">
      <c r="B10" s="165" t="str">
        <f>STN_2</f>
        <v>KLO</v>
      </c>
      <c r="C10" s="17">
        <f>INDEX(Schedule!$C$4:$E$9,MATCH($B10,Schedule!$B$4:$B$9,0),1)</f>
        <v>43692</v>
      </c>
      <c r="D10" s="17">
        <f>INDEX(Schedule!$C$4:$E$9,MATCH($B10,Schedule!$B$4:$B$9,0),2)</f>
        <v>44197</v>
      </c>
      <c r="E10" s="17">
        <f>INDEX(Schedule!$C$4:$E$9,MATCH($B10,Schedule!$B$4:$B$9,0),3)</f>
        <v>44896</v>
      </c>
      <c r="F10" s="676" t="s">
        <v>42</v>
      </c>
      <c r="G10" s="676" t="s">
        <v>18</v>
      </c>
      <c r="H10" s="676" t="str">
        <f t="shared" si="5"/>
        <v>SubtransmissionAugmentation</v>
      </c>
      <c r="I10" s="365">
        <f>INDEX(KLO_Det!$K$114:$O$118,MATCH($H10,KLO_Det!$F$114:$F$118,0),MATCH(I$3,KLO_Det!$K$4:$O$4,0))</f>
        <v>2797.979380648967</v>
      </c>
      <c r="J10" s="365">
        <f>INDEX(KLO_Det!$K$114:$O$118,MATCH($H10,KLO_Det!$F$114:$F$118,0),MATCH(J$3,KLO_Det!$K$4:$O$4,0))</f>
        <v>726.54015875954678</v>
      </c>
      <c r="K10" s="365">
        <f>INDEX(KLO_Det!$K$114:$O$118,MATCH($H10,KLO_Det!$F$114:$F$118,0),MATCH(K$3,KLO_Det!$K$4:$O$4,0))</f>
        <v>736.56291792839147</v>
      </c>
      <c r="L10" s="365">
        <f>INDEX(KLO_Det!$K$114:$O$118,MATCH($H10,KLO_Det!$F$114:$F$118,0),MATCH(L$3,KLO_Det!$K$4:$O$4,0))</f>
        <v>5710.5763016283181</v>
      </c>
      <c r="M10" s="365">
        <f>INDEX(KLO_Det!$K$114:$O$118,MATCH($H10,KLO_Det!$F$114:$F$118,0),MATCH(M$3,KLO_Det!$K$4:$O$4,0))</f>
        <v>107.33770973451325</v>
      </c>
      <c r="N10" s="38">
        <f>$I10*INDEX(Stat_Phasing!$D$6:$K$11,MATCH($B10,Stat_Phasing!$B$6:$B$11,0),MATCH(N$4,Stat_Phasing!$D$5:$K$5))</f>
        <v>0</v>
      </c>
      <c r="O10" s="38">
        <f>$I10*INDEX(Stat_Phasing!$D$6:$K$11,MATCH($B10,Stat_Phasing!$B$6:$B$11,0),MATCH(O$4,Stat_Phasing!$D$5:$K$5))</f>
        <v>0</v>
      </c>
      <c r="P10" s="38">
        <f>$I10*INDEX(Stat_Phasing!$D$6:$K$11,MATCH($B10,Stat_Phasing!$B$6:$B$11,0),MATCH(P$4,Stat_Phasing!$D$5:$K$5))</f>
        <v>0</v>
      </c>
      <c r="Q10" s="38">
        <f>$I10*INDEX(Stat_Phasing!$D$6:$K$11,MATCH($B10,Stat_Phasing!$B$6:$B$11,0),MATCH(Q$4,Stat_Phasing!$D$5:$K$5))</f>
        <v>0</v>
      </c>
      <c r="R10" s="38">
        <f>$I10*INDEX(Stat_Phasing!$D$6:$K$11,MATCH($B10,Stat_Phasing!$B$6:$B$11,0),MATCH(R$4,Stat_Phasing!$D$5:$K$5))</f>
        <v>0</v>
      </c>
      <c r="S10" s="38">
        <f>$I10*INDEX(Stat_Phasing!$D$6:$K$11,MATCH($B10,Stat_Phasing!$B$6:$B$11,0),MATCH(S$4,Stat_Phasing!$D$5:$K$5))</f>
        <v>1259.0907212920349</v>
      </c>
      <c r="T10" s="38">
        <f>$I10*INDEX(Stat_Phasing!$D$6:$K$11,MATCH($B10,Stat_Phasing!$B$6:$B$11,0),MATCH(T$4,Stat_Phasing!$D$5:$K$5))</f>
        <v>1538.8886593569321</v>
      </c>
      <c r="U10" s="38">
        <f>$I10*INDEX(Stat_Phasing!$D$6:$K$11,MATCH($B10,Stat_Phasing!$B$6:$B$11,0),MATCH(U$4,Stat_Phasing!$D$5:$K$5))</f>
        <v>0</v>
      </c>
      <c r="V10" s="38"/>
      <c r="W10" s="38">
        <f>$J10*INDEX(Stat_Phasing!$D$15:$K$20,MATCH($B10,Stat_Phasing!$B$15:$B$20,0),MATCH(W$4,Stat_Phasing!$D$14:$K$14))</f>
        <v>0</v>
      </c>
      <c r="X10" s="38">
        <f>$J10*INDEX(Stat_Phasing!$D$15:$K$20,MATCH($B10,Stat_Phasing!$B$15:$B$20,0),MATCH(X$4,Stat_Phasing!$D$14:$K$14))</f>
        <v>0</v>
      </c>
      <c r="Y10" s="38">
        <f>$J10*INDEX(Stat_Phasing!$D$15:$K$20,MATCH($B10,Stat_Phasing!$B$15:$B$20,0),MATCH(Y$4,Stat_Phasing!$D$14:$K$14))</f>
        <v>0</v>
      </c>
      <c r="Z10" s="38">
        <f>$J10*INDEX(Stat_Phasing!$D$15:$K$20,MATCH($B10,Stat_Phasing!$B$15:$B$20,0),MATCH(Z$4,Stat_Phasing!$D$14:$K$14))</f>
        <v>40.867883930224508</v>
      </c>
      <c r="AA10" s="38">
        <f>$J10*INDEX(Stat_Phasing!$D$15:$K$20,MATCH($B10,Stat_Phasing!$B$15:$B$20,0),MATCH(AA$4,Stat_Phasing!$D$14:$K$14))</f>
        <v>54.490511906966006</v>
      </c>
      <c r="AB10" s="38">
        <f>$J10*INDEX(Stat_Phasing!$D$15:$K$20,MATCH($B10,Stat_Phasing!$B$15:$B$20,0),MATCH(AB$4,Stat_Phasing!$D$14:$K$14))</f>
        <v>363.27007937977339</v>
      </c>
      <c r="AC10" s="38">
        <f>$J10*INDEX(Stat_Phasing!$D$15:$K$20,MATCH($B10,Stat_Phasing!$B$15:$B$20,0),MATCH(AC$4,Stat_Phasing!$D$14:$K$14))</f>
        <v>267.91168354258292</v>
      </c>
      <c r="AD10" s="38">
        <f>$J10*INDEX(Stat_Phasing!$D$15:$K$20,MATCH($B10,Stat_Phasing!$B$15:$B$20,0),MATCH(AD$4,Stat_Phasing!$D$14:$K$14))</f>
        <v>0</v>
      </c>
      <c r="AE10" s="38"/>
      <c r="AF10" s="38">
        <f>$K10*INDEX(Stat_Phasing!$D$24:$K$29,MATCH($B10,Stat_Phasing!$B$24:$B$29,0),MATCH(AF$4,Stat_Phasing!$D$23:$K$23))+$L10*INDEX(Stat_Phasing!$D$33:$K$38,MATCH($B10,Stat_Phasing!$B$33:$B$38,0),MATCH(AF$4,Stat_Phasing!$D$32:$K$32))</f>
        <v>0</v>
      </c>
      <c r="AG10" s="38">
        <f>$K10*INDEX(Stat_Phasing!$D$24:$K$29,MATCH($B10,Stat_Phasing!$B$24:$B$29,0),MATCH(AG$4,Stat_Phasing!$D$23:$K$23))+$L10*INDEX(Stat_Phasing!$D$33:$K$38,MATCH($B10,Stat_Phasing!$B$33:$B$38,0),MATCH(AG$4,Stat_Phasing!$D$32:$K$32))</f>
        <v>0</v>
      </c>
      <c r="AH10" s="38">
        <f>$K10*INDEX(Stat_Phasing!$D$24:$K$29,MATCH($B10,Stat_Phasing!$B$24:$B$29,0),MATCH(AH$4,Stat_Phasing!$D$23:$K$23))+$L10*INDEX(Stat_Phasing!$D$33:$K$38,MATCH($B10,Stat_Phasing!$B$33:$B$38,0),MATCH(AH$4,Stat_Phasing!$D$32:$K$32))</f>
        <v>0</v>
      </c>
      <c r="AI10" s="38">
        <f>$K10*INDEX(Stat_Phasing!$D$24:$K$29,MATCH($B10,Stat_Phasing!$B$24:$B$29,0),MATCH(AI$4,Stat_Phasing!$D$23:$K$23))+$L10*INDEX(Stat_Phasing!$D$33:$K$38,MATCH($B10,Stat_Phasing!$B$33:$B$38,0),MATCH(AI$4,Stat_Phasing!$D$32:$K$32))</f>
        <v>147.31258358567831</v>
      </c>
      <c r="AJ10" s="38">
        <f>$K10*INDEX(Stat_Phasing!$D$24:$K$29,MATCH($B10,Stat_Phasing!$B$24:$B$29,0),MATCH(AJ$4,Stat_Phasing!$D$23:$K$23))+$L10*INDEX(Stat_Phasing!$D$33:$K$38,MATCH($B10,Stat_Phasing!$B$33:$B$38,0),MATCH(AJ$4,Stat_Phasing!$D$32:$K$32))</f>
        <v>589.25033434271324</v>
      </c>
      <c r="AK10" s="38">
        <f>$K10*INDEX(Stat_Phasing!$D$24:$K$29,MATCH($B10,Stat_Phasing!$B$24:$B$29,0),MATCH(AK$4,Stat_Phasing!$D$23:$K$23))+$L10*INDEX(Stat_Phasing!$D$33:$K$38,MATCH($B10,Stat_Phasing!$B$33:$B$38,0),MATCH(AK$4,Stat_Phasing!$D$32:$K$32))</f>
        <v>2959.1168108437651</v>
      </c>
      <c r="AL10" s="38">
        <f>$K10*INDEX(Stat_Phasing!$D$24:$K$29,MATCH($B10,Stat_Phasing!$B$24:$B$29,0),MATCH(AL$4,Stat_Phasing!$D$23:$K$23))+$L10*INDEX(Stat_Phasing!$D$33:$K$38,MATCH($B10,Stat_Phasing!$B$33:$B$38,0),MATCH(AL$4,Stat_Phasing!$D$32:$K$32))</f>
        <v>2751.4594907845531</v>
      </c>
      <c r="AM10" s="38">
        <f>$K10*INDEX(Stat_Phasing!$D$24:$K$29,MATCH($B10,Stat_Phasing!$B$24:$B$29,0),MATCH(AM$4,Stat_Phasing!$D$23:$K$23))+$L10*INDEX(Stat_Phasing!$D$33:$K$38,MATCH($B10,Stat_Phasing!$B$33:$B$38,0),MATCH(AM$4,Stat_Phasing!$D$32:$K$32))</f>
        <v>0</v>
      </c>
      <c r="AN10" s="38"/>
      <c r="AO10" s="38">
        <f>$M10*INDEX(Stat_Phasing!$D$42:$K$47,MATCH($B10,Stat_Phasing!$B$42:$B$47,0),MATCH(AO$4,Stat_Phasing!$D$41:$K$41))</f>
        <v>0</v>
      </c>
      <c r="AP10" s="38">
        <f>$M10*INDEX(Stat_Phasing!$D$42:$K$47,MATCH($B10,Stat_Phasing!$B$42:$B$47,0),MATCH(AP$4,Stat_Phasing!$D$41:$K$41))</f>
        <v>0</v>
      </c>
      <c r="AQ10" s="38">
        <f>$M10*INDEX(Stat_Phasing!$D$42:$K$47,MATCH($B10,Stat_Phasing!$B$42:$B$47,0),MATCH(AQ$4,Stat_Phasing!$D$41:$K$41))</f>
        <v>0</v>
      </c>
      <c r="AR10" s="38">
        <f>$M10*INDEX(Stat_Phasing!$D$42:$K$47,MATCH($B10,Stat_Phasing!$B$42:$B$47,0),MATCH(AR$4,Stat_Phasing!$D$41:$K$41))</f>
        <v>0</v>
      </c>
      <c r="AS10" s="38">
        <f>$M10*INDEX(Stat_Phasing!$D$42:$K$47,MATCH($B10,Stat_Phasing!$B$42:$B$47,0),MATCH(AS$4,Stat_Phasing!$D$41:$K$41))</f>
        <v>0</v>
      </c>
      <c r="AT10" s="38">
        <f>$M10*INDEX(Stat_Phasing!$D$42:$K$47,MATCH($B10,Stat_Phasing!$B$42:$B$47,0),MATCH(AT$4,Stat_Phasing!$D$41:$K$41))</f>
        <v>58.547841673370861</v>
      </c>
      <c r="AU10" s="38">
        <f>$M10*INDEX(Stat_Phasing!$D$42:$K$47,MATCH($B10,Stat_Phasing!$B$42:$B$47,0),MATCH(AU$4,Stat_Phasing!$D$41:$K$41))</f>
        <v>48.789868061142386</v>
      </c>
      <c r="AV10" s="38">
        <f>$M10*INDEX(Stat_Phasing!$D$42:$K$47,MATCH($B10,Stat_Phasing!$B$42:$B$47,0),MATCH(AV$4,Stat_Phasing!$D$41:$K$41))</f>
        <v>0</v>
      </c>
      <c r="AW10" s="6"/>
      <c r="AX10" s="6">
        <f t="shared" si="12"/>
        <v>0</v>
      </c>
      <c r="AY10" s="6">
        <f t="shared" si="13"/>
        <v>0</v>
      </c>
      <c r="AZ10" s="6">
        <f t="shared" si="14"/>
        <v>0</v>
      </c>
      <c r="BA10" s="6">
        <f t="shared" si="15"/>
        <v>188.18046751590282</v>
      </c>
      <c r="BB10" s="6">
        <f t="shared" si="16"/>
        <v>643.74084624967929</v>
      </c>
      <c r="BC10" s="6">
        <f t="shared" si="1"/>
        <v>4640.0254531889441</v>
      </c>
      <c r="BD10" s="6">
        <f t="shared" si="2"/>
        <v>4607.0497017452108</v>
      </c>
      <c r="BE10" s="6">
        <f t="shared" si="3"/>
        <v>0</v>
      </c>
      <c r="BG10" s="14">
        <f t="shared" si="4"/>
        <v>10078.996468699737</v>
      </c>
      <c r="BH10" s="38">
        <f t="shared" si="6"/>
        <v>0</v>
      </c>
      <c r="BJ10" s="38">
        <f t="shared" si="7"/>
        <v>0</v>
      </c>
      <c r="BK10" s="38">
        <f t="shared" si="8"/>
        <v>95.358395837190514</v>
      </c>
      <c r="BL10" s="38">
        <f t="shared" si="9"/>
        <v>736.56291792839147</v>
      </c>
      <c r="BM10" s="38">
        <f t="shared" si="10"/>
        <v>0</v>
      </c>
      <c r="BN10" s="38">
        <f t="shared" si="11"/>
        <v>0</v>
      </c>
      <c r="BO10" s="38"/>
      <c r="BP10" s="38"/>
      <c r="BQ10" s="38"/>
      <c r="BR10" s="38"/>
      <c r="BT10" s="16"/>
      <c r="BU10" s="16"/>
      <c r="BV10" s="16"/>
      <c r="BW10" s="16"/>
    </row>
    <row r="11" spans="2:75" x14ac:dyDescent="0.25">
      <c r="B11" s="165" t="str">
        <f>STN_2</f>
        <v>KLO</v>
      </c>
      <c r="C11" s="17">
        <f>INDEX(Schedule!$C$4:$E$9,MATCH($B11,Schedule!$B$4:$B$9,0),1)</f>
        <v>43692</v>
      </c>
      <c r="D11" s="17">
        <f>INDEX(Schedule!$C$4:$E$9,MATCH($B11,Schedule!$B$4:$B$9,0),2)</f>
        <v>44197</v>
      </c>
      <c r="E11" s="17">
        <f>INDEX(Schedule!$C$4:$E$9,MATCH($B11,Schedule!$B$4:$B$9,0),3)</f>
        <v>44896</v>
      </c>
      <c r="F11" s="676" t="s">
        <v>44</v>
      </c>
      <c r="G11" s="676" t="s">
        <v>18</v>
      </c>
      <c r="H11" s="676" t="str">
        <f t="shared" si="5"/>
        <v>SubtransmissionReplacement</v>
      </c>
      <c r="I11" s="365">
        <f>INDEX(KLO_Det!$K$114:$O$118,MATCH($H11,KLO_Det!$F$114:$F$118,0),MATCH(I$3,KLO_Det!$K$4:$O$4,0))</f>
        <v>0</v>
      </c>
      <c r="J11" s="365">
        <f>INDEX(KLO_Det!$K$114:$O$118,MATCH($H11,KLO_Det!$F$114:$F$118,0),MATCH(J$3,KLO_Det!$K$4:$O$4,0))</f>
        <v>0</v>
      </c>
      <c r="K11" s="365">
        <f>INDEX(KLO_Det!$K$114:$O$118,MATCH($H11,KLO_Det!$F$114:$F$118,0),MATCH(K$3,KLO_Det!$K$4:$O$4,0))</f>
        <v>0</v>
      </c>
      <c r="L11" s="365">
        <f>INDEX(KLO_Det!$K$114:$O$118,MATCH($H11,KLO_Det!$F$114:$F$118,0),MATCH(L$3,KLO_Det!$K$4:$O$4,0))</f>
        <v>0</v>
      </c>
      <c r="M11" s="365">
        <f>INDEX(KLO_Det!$K$114:$O$118,MATCH($H11,KLO_Det!$F$114:$F$118,0),MATCH(M$3,KLO_Det!$K$4:$O$4,0))</f>
        <v>0</v>
      </c>
      <c r="N11" s="38">
        <f>$I11*INDEX(Stat_Phasing!$D$6:$K$11,MATCH($B11,Stat_Phasing!$B$6:$B$11,0),MATCH(N$4,Stat_Phasing!$D$5:$K$5))</f>
        <v>0</v>
      </c>
      <c r="O11" s="38">
        <f>$I11*INDEX(Stat_Phasing!$D$6:$K$11,MATCH($B11,Stat_Phasing!$B$6:$B$11,0),MATCH(O$4,Stat_Phasing!$D$5:$K$5))</f>
        <v>0</v>
      </c>
      <c r="P11" s="38">
        <f>$I11*INDEX(Stat_Phasing!$D$6:$K$11,MATCH($B11,Stat_Phasing!$B$6:$B$11,0),MATCH(P$4,Stat_Phasing!$D$5:$K$5))</f>
        <v>0</v>
      </c>
      <c r="Q11" s="38">
        <f>$I11*INDEX(Stat_Phasing!$D$6:$K$11,MATCH($B11,Stat_Phasing!$B$6:$B$11,0),MATCH(Q$4,Stat_Phasing!$D$5:$K$5))</f>
        <v>0</v>
      </c>
      <c r="R11" s="38">
        <f>$I11*INDEX(Stat_Phasing!$D$6:$K$11,MATCH($B11,Stat_Phasing!$B$6:$B$11,0),MATCH(R$4,Stat_Phasing!$D$5:$K$5))</f>
        <v>0</v>
      </c>
      <c r="S11" s="38">
        <f>$I11*INDEX(Stat_Phasing!$D$6:$K$11,MATCH($B11,Stat_Phasing!$B$6:$B$11,0),MATCH(S$4,Stat_Phasing!$D$5:$K$5))</f>
        <v>0</v>
      </c>
      <c r="T11" s="38">
        <f>$I11*INDEX(Stat_Phasing!$D$6:$K$11,MATCH($B11,Stat_Phasing!$B$6:$B$11,0),MATCH(T$4,Stat_Phasing!$D$5:$K$5))</f>
        <v>0</v>
      </c>
      <c r="U11" s="38">
        <f>$I11*INDEX(Stat_Phasing!$D$6:$K$11,MATCH($B11,Stat_Phasing!$B$6:$B$11,0),MATCH(U$4,Stat_Phasing!$D$5:$K$5))</f>
        <v>0</v>
      </c>
      <c r="V11" s="38"/>
      <c r="W11" s="38">
        <f>$J11*INDEX(Stat_Phasing!$D$15:$K$20,MATCH($B11,Stat_Phasing!$B$15:$B$20,0),MATCH(W$4,Stat_Phasing!$D$14:$K$14))</f>
        <v>0</v>
      </c>
      <c r="X11" s="38">
        <f>$J11*INDEX(Stat_Phasing!$D$15:$K$20,MATCH($B11,Stat_Phasing!$B$15:$B$20,0),MATCH(X$4,Stat_Phasing!$D$14:$K$14))</f>
        <v>0</v>
      </c>
      <c r="Y11" s="38">
        <f>$J11*INDEX(Stat_Phasing!$D$15:$K$20,MATCH($B11,Stat_Phasing!$B$15:$B$20,0),MATCH(Y$4,Stat_Phasing!$D$14:$K$14))</f>
        <v>0</v>
      </c>
      <c r="Z11" s="38">
        <f>$J11*INDEX(Stat_Phasing!$D$15:$K$20,MATCH($B11,Stat_Phasing!$B$15:$B$20,0),MATCH(Z$4,Stat_Phasing!$D$14:$K$14))</f>
        <v>0</v>
      </c>
      <c r="AA11" s="38">
        <f>$J11*INDEX(Stat_Phasing!$D$15:$K$20,MATCH($B11,Stat_Phasing!$B$15:$B$20,0),MATCH(AA$4,Stat_Phasing!$D$14:$K$14))</f>
        <v>0</v>
      </c>
      <c r="AB11" s="38">
        <f>$J11*INDEX(Stat_Phasing!$D$15:$K$20,MATCH($B11,Stat_Phasing!$B$15:$B$20,0),MATCH(AB$4,Stat_Phasing!$D$14:$K$14))</f>
        <v>0</v>
      </c>
      <c r="AC11" s="38">
        <f>$J11*INDEX(Stat_Phasing!$D$15:$K$20,MATCH($B11,Stat_Phasing!$B$15:$B$20,0),MATCH(AC$4,Stat_Phasing!$D$14:$K$14))</f>
        <v>0</v>
      </c>
      <c r="AD11" s="38">
        <f>$J11*INDEX(Stat_Phasing!$D$15:$K$20,MATCH($B11,Stat_Phasing!$B$15:$B$20,0),MATCH(AD$4,Stat_Phasing!$D$14:$K$14))</f>
        <v>0</v>
      </c>
      <c r="AE11" s="38"/>
      <c r="AF11" s="38">
        <f>$K11*INDEX(Stat_Phasing!$D$24:$K$29,MATCH($B11,Stat_Phasing!$B$24:$B$29,0),MATCH(AF$4,Stat_Phasing!$D$23:$K$23))+$L11*INDEX(Stat_Phasing!$D$33:$K$38,MATCH($B11,Stat_Phasing!$B$33:$B$38,0),MATCH(AF$4,Stat_Phasing!$D$32:$K$32))</f>
        <v>0</v>
      </c>
      <c r="AG11" s="38">
        <f>$K11*INDEX(Stat_Phasing!$D$24:$K$29,MATCH($B11,Stat_Phasing!$B$24:$B$29,0),MATCH(AG$4,Stat_Phasing!$D$23:$K$23))+$L11*INDEX(Stat_Phasing!$D$33:$K$38,MATCH($B11,Stat_Phasing!$B$33:$B$38,0),MATCH(AG$4,Stat_Phasing!$D$32:$K$32))</f>
        <v>0</v>
      </c>
      <c r="AH11" s="38">
        <f>$K11*INDEX(Stat_Phasing!$D$24:$K$29,MATCH($B11,Stat_Phasing!$B$24:$B$29,0),MATCH(AH$4,Stat_Phasing!$D$23:$K$23))+$L11*INDEX(Stat_Phasing!$D$33:$K$38,MATCH($B11,Stat_Phasing!$B$33:$B$38,0),MATCH(AH$4,Stat_Phasing!$D$32:$K$32))</f>
        <v>0</v>
      </c>
      <c r="AI11" s="38">
        <f>$K11*INDEX(Stat_Phasing!$D$24:$K$29,MATCH($B11,Stat_Phasing!$B$24:$B$29,0),MATCH(AI$4,Stat_Phasing!$D$23:$K$23))+$L11*INDEX(Stat_Phasing!$D$33:$K$38,MATCH($B11,Stat_Phasing!$B$33:$B$38,0),MATCH(AI$4,Stat_Phasing!$D$32:$K$32))</f>
        <v>0</v>
      </c>
      <c r="AJ11" s="38">
        <f>$K11*INDEX(Stat_Phasing!$D$24:$K$29,MATCH($B11,Stat_Phasing!$B$24:$B$29,0),MATCH(AJ$4,Stat_Phasing!$D$23:$K$23))+$L11*INDEX(Stat_Phasing!$D$33:$K$38,MATCH($B11,Stat_Phasing!$B$33:$B$38,0),MATCH(AJ$4,Stat_Phasing!$D$32:$K$32))</f>
        <v>0</v>
      </c>
      <c r="AK11" s="38">
        <f>$K11*INDEX(Stat_Phasing!$D$24:$K$29,MATCH($B11,Stat_Phasing!$B$24:$B$29,0),MATCH(AK$4,Stat_Phasing!$D$23:$K$23))+$L11*INDEX(Stat_Phasing!$D$33:$K$38,MATCH($B11,Stat_Phasing!$B$33:$B$38,0),MATCH(AK$4,Stat_Phasing!$D$32:$K$32))</f>
        <v>0</v>
      </c>
      <c r="AL11" s="38">
        <f>$K11*INDEX(Stat_Phasing!$D$24:$K$29,MATCH($B11,Stat_Phasing!$B$24:$B$29,0),MATCH(AL$4,Stat_Phasing!$D$23:$K$23))+$L11*INDEX(Stat_Phasing!$D$33:$K$38,MATCH($B11,Stat_Phasing!$B$33:$B$38,0),MATCH(AL$4,Stat_Phasing!$D$32:$K$32))</f>
        <v>0</v>
      </c>
      <c r="AM11" s="38">
        <f>$K11*INDEX(Stat_Phasing!$D$24:$K$29,MATCH($B11,Stat_Phasing!$B$24:$B$29,0),MATCH(AM$4,Stat_Phasing!$D$23:$K$23))+$L11*INDEX(Stat_Phasing!$D$33:$K$38,MATCH($B11,Stat_Phasing!$B$33:$B$38,0),MATCH(AM$4,Stat_Phasing!$D$32:$K$32))</f>
        <v>0</v>
      </c>
      <c r="AN11" s="38"/>
      <c r="AO11" s="38">
        <f>$M11*INDEX(Stat_Phasing!$D$42:$K$47,MATCH($B11,Stat_Phasing!$B$42:$B$47,0),MATCH(AO$4,Stat_Phasing!$D$41:$K$41))</f>
        <v>0</v>
      </c>
      <c r="AP11" s="38">
        <f>$M11*INDEX(Stat_Phasing!$D$42:$K$47,MATCH($B11,Stat_Phasing!$B$42:$B$47,0),MATCH(AP$4,Stat_Phasing!$D$41:$K$41))</f>
        <v>0</v>
      </c>
      <c r="AQ11" s="38">
        <f>$M11*INDEX(Stat_Phasing!$D$42:$K$47,MATCH($B11,Stat_Phasing!$B$42:$B$47,0),MATCH(AQ$4,Stat_Phasing!$D$41:$K$41))</f>
        <v>0</v>
      </c>
      <c r="AR11" s="38">
        <f>$M11*INDEX(Stat_Phasing!$D$42:$K$47,MATCH($B11,Stat_Phasing!$B$42:$B$47,0),MATCH(AR$4,Stat_Phasing!$D$41:$K$41))</f>
        <v>0</v>
      </c>
      <c r="AS11" s="38">
        <f>$M11*INDEX(Stat_Phasing!$D$42:$K$47,MATCH($B11,Stat_Phasing!$B$42:$B$47,0),MATCH(AS$4,Stat_Phasing!$D$41:$K$41))</f>
        <v>0</v>
      </c>
      <c r="AT11" s="38">
        <f>$M11*INDEX(Stat_Phasing!$D$42:$K$47,MATCH($B11,Stat_Phasing!$B$42:$B$47,0),MATCH(AT$4,Stat_Phasing!$D$41:$K$41))</f>
        <v>0</v>
      </c>
      <c r="AU11" s="38">
        <f>$M11*INDEX(Stat_Phasing!$D$42:$K$47,MATCH($B11,Stat_Phasing!$B$42:$B$47,0),MATCH(AU$4,Stat_Phasing!$D$41:$K$41))</f>
        <v>0</v>
      </c>
      <c r="AV11" s="38">
        <f>$M11*INDEX(Stat_Phasing!$D$42:$K$47,MATCH($B11,Stat_Phasing!$B$42:$B$47,0),MATCH(AV$4,Stat_Phasing!$D$41:$K$41))</f>
        <v>0</v>
      </c>
      <c r="AW11" s="6"/>
      <c r="AX11" s="6">
        <f>N11+W11+AF11+AO11</f>
        <v>0</v>
      </c>
      <c r="AY11" s="6">
        <f>O11+X11+AG11+AP11</f>
        <v>0</v>
      </c>
      <c r="AZ11" s="6">
        <f>P11+Y11+AH11+AQ11</f>
        <v>0</v>
      </c>
      <c r="BA11" s="6">
        <f>Q11+Z11+AI11+AR11</f>
        <v>0</v>
      </c>
      <c r="BB11" s="6">
        <f>R11+AA11+AJ11+AS11</f>
        <v>0</v>
      </c>
      <c r="BC11" s="6">
        <f t="shared" si="1"/>
        <v>0</v>
      </c>
      <c r="BD11" s="6">
        <f t="shared" si="2"/>
        <v>0</v>
      </c>
      <c r="BE11" s="6">
        <f t="shared" si="3"/>
        <v>0</v>
      </c>
      <c r="BG11" s="14">
        <f t="shared" si="4"/>
        <v>0</v>
      </c>
      <c r="BH11" s="38">
        <f t="shared" si="6"/>
        <v>0</v>
      </c>
      <c r="BJ11" s="38">
        <f t="shared" si="7"/>
        <v>0</v>
      </c>
      <c r="BK11" s="38">
        <f t="shared" si="8"/>
        <v>0</v>
      </c>
      <c r="BL11" s="38">
        <f t="shared" si="9"/>
        <v>0</v>
      </c>
      <c r="BM11" s="38">
        <f t="shared" si="10"/>
        <v>0</v>
      </c>
      <c r="BN11" s="38">
        <f t="shared" si="11"/>
        <v>0</v>
      </c>
      <c r="BO11" s="38"/>
      <c r="BP11" s="38"/>
      <c r="BQ11" s="38"/>
      <c r="BR11" s="38"/>
      <c r="BT11" s="16"/>
      <c r="BU11" s="16"/>
      <c r="BV11" s="16"/>
      <c r="BW11" s="16"/>
    </row>
    <row r="12" spans="2:75" x14ac:dyDescent="0.25">
      <c r="B12" s="165" t="str">
        <f>STN_2</f>
        <v>KLO</v>
      </c>
      <c r="C12" s="17">
        <f>INDEX(Schedule!$C$4:$E$9,MATCH($B12,Schedule!$B$4:$B$9,0),1)</f>
        <v>43692</v>
      </c>
      <c r="D12" s="17">
        <f>INDEX(Schedule!$C$4:$E$9,MATCH($B12,Schedule!$B$4:$B$9,0),2)</f>
        <v>44197</v>
      </c>
      <c r="E12" s="17">
        <f>INDEX(Schedule!$C$4:$E$9,MATCH($B12,Schedule!$B$4:$B$9,0),3)</f>
        <v>44896</v>
      </c>
      <c r="F12" s="676" t="s">
        <v>42</v>
      </c>
      <c r="G12" s="676" t="s">
        <v>22</v>
      </c>
      <c r="H12" s="676" t="str">
        <f t="shared" si="5"/>
        <v>SCADA/Network controlAugmentation</v>
      </c>
      <c r="I12" s="365">
        <f>INDEX(KLO_Det!$K$114:$O$118,MATCH($H12,KLO_Det!$F$114:$F$118,0),MATCH(I$3,KLO_Det!$K$4:$O$4,0))</f>
        <v>2706.2031454815096</v>
      </c>
      <c r="J12" s="365">
        <f>INDEX(KLO_Det!$K$114:$O$118,MATCH($H12,KLO_Det!$F$114:$F$118,0),MATCH(J$3,KLO_Det!$K$4:$O$4,0))</f>
        <v>270.76668074448452</v>
      </c>
      <c r="K12" s="365">
        <f>INDEX(KLO_Det!$K$114:$O$118,MATCH($H12,KLO_Det!$F$114:$F$118,0),MATCH(K$3,KLO_Det!$K$4:$O$4,0))</f>
        <v>274.5019584154158</v>
      </c>
      <c r="L12" s="365">
        <f>INDEX(KLO_Det!$K$114:$O$118,MATCH($H12,KLO_Det!$F$114:$F$118,0),MATCH(L$3,KLO_Det!$K$4:$O$4,0))</f>
        <v>499.88495256450773</v>
      </c>
      <c r="M12" s="365">
        <f>INDEX(KLO_Det!$K$114:$O$118,MATCH($H12,KLO_Det!$F$114:$F$118,0),MATCH(M$3,KLO_Det!$K$4:$O$4,0))</f>
        <v>4.8794269789272953</v>
      </c>
      <c r="N12" s="38">
        <f>$I12*INDEX(Stat_Phasing!$D$6:$K$11,MATCH($B12,Stat_Phasing!$B$6:$B$11,0),MATCH(N$4,Stat_Phasing!$D$5:$K$5))</f>
        <v>0</v>
      </c>
      <c r="O12" s="38">
        <f>$I12*INDEX(Stat_Phasing!$D$6:$K$11,MATCH($B12,Stat_Phasing!$B$6:$B$11,0),MATCH(O$4,Stat_Phasing!$D$5:$K$5))</f>
        <v>0</v>
      </c>
      <c r="P12" s="38">
        <f>$I12*INDEX(Stat_Phasing!$D$6:$K$11,MATCH($B12,Stat_Phasing!$B$6:$B$11,0),MATCH(P$4,Stat_Phasing!$D$5:$K$5))</f>
        <v>0</v>
      </c>
      <c r="Q12" s="38">
        <f>$I12*INDEX(Stat_Phasing!$D$6:$K$11,MATCH($B12,Stat_Phasing!$B$6:$B$11,0),MATCH(Q$4,Stat_Phasing!$D$5:$K$5))</f>
        <v>0</v>
      </c>
      <c r="R12" s="38">
        <f>$I12*INDEX(Stat_Phasing!$D$6:$K$11,MATCH($B12,Stat_Phasing!$B$6:$B$11,0),MATCH(R$4,Stat_Phasing!$D$5:$K$5))</f>
        <v>0</v>
      </c>
      <c r="S12" s="38">
        <f>$I12*INDEX(Stat_Phasing!$D$6:$K$11,MATCH($B12,Stat_Phasing!$B$6:$B$11,0),MATCH(S$4,Stat_Phasing!$D$5:$K$5))</f>
        <v>1217.7914154666792</v>
      </c>
      <c r="T12" s="38">
        <f>$I12*INDEX(Stat_Phasing!$D$6:$K$11,MATCH($B12,Stat_Phasing!$B$6:$B$11,0),MATCH(T$4,Stat_Phasing!$D$5:$K$5))</f>
        <v>1488.4117300148305</v>
      </c>
      <c r="U12" s="38">
        <f>$I12*INDEX(Stat_Phasing!$D$6:$K$11,MATCH($B12,Stat_Phasing!$B$6:$B$11,0),MATCH(U$4,Stat_Phasing!$D$5:$K$5))</f>
        <v>0</v>
      </c>
      <c r="V12" s="38"/>
      <c r="W12" s="38">
        <f>$J12*INDEX(Stat_Phasing!$D$15:$K$20,MATCH($B12,Stat_Phasing!$B$15:$B$20,0),MATCH(W$4,Stat_Phasing!$D$14:$K$14))</f>
        <v>0</v>
      </c>
      <c r="X12" s="38">
        <f>$J12*INDEX(Stat_Phasing!$D$15:$K$20,MATCH($B12,Stat_Phasing!$B$15:$B$20,0),MATCH(X$4,Stat_Phasing!$D$14:$K$14))</f>
        <v>0</v>
      </c>
      <c r="Y12" s="38">
        <f>$J12*INDEX(Stat_Phasing!$D$15:$K$20,MATCH($B12,Stat_Phasing!$B$15:$B$20,0),MATCH(Y$4,Stat_Phasing!$D$14:$K$14))</f>
        <v>0</v>
      </c>
      <c r="Z12" s="38">
        <f>$J12*INDEX(Stat_Phasing!$D$15:$K$20,MATCH($B12,Stat_Phasing!$B$15:$B$20,0),MATCH(Z$4,Stat_Phasing!$D$14:$K$14))</f>
        <v>15.230625791877255</v>
      </c>
      <c r="AA12" s="38">
        <f>$J12*INDEX(Stat_Phasing!$D$15:$K$20,MATCH($B12,Stat_Phasing!$B$15:$B$20,0),MATCH(AA$4,Stat_Phasing!$D$14:$K$14))</f>
        <v>20.307501055836337</v>
      </c>
      <c r="AB12" s="38">
        <f>$J12*INDEX(Stat_Phasing!$D$15:$K$20,MATCH($B12,Stat_Phasing!$B$15:$B$20,0),MATCH(AB$4,Stat_Phasing!$D$14:$K$14))</f>
        <v>135.38334037224226</v>
      </c>
      <c r="AC12" s="38">
        <f>$J12*INDEX(Stat_Phasing!$D$15:$K$20,MATCH($B12,Stat_Phasing!$B$15:$B$20,0),MATCH(AC$4,Stat_Phasing!$D$14:$K$14))</f>
        <v>99.845213524528674</v>
      </c>
      <c r="AD12" s="38">
        <f>$J12*INDEX(Stat_Phasing!$D$15:$K$20,MATCH($B12,Stat_Phasing!$B$15:$B$20,0),MATCH(AD$4,Stat_Phasing!$D$14:$K$14))</f>
        <v>0</v>
      </c>
      <c r="AE12" s="38"/>
      <c r="AF12" s="38">
        <f>$K12*INDEX(Stat_Phasing!$D$24:$K$29,MATCH($B12,Stat_Phasing!$B$24:$B$29,0),MATCH(AF$4,Stat_Phasing!$D$23:$K$23))+$L12*INDEX(Stat_Phasing!$D$33:$K$38,MATCH($B12,Stat_Phasing!$B$33:$B$38,0),MATCH(AF$4,Stat_Phasing!$D$32:$K$32))</f>
        <v>0</v>
      </c>
      <c r="AG12" s="38">
        <f>$K12*INDEX(Stat_Phasing!$D$24:$K$29,MATCH($B12,Stat_Phasing!$B$24:$B$29,0),MATCH(AG$4,Stat_Phasing!$D$23:$K$23))+$L12*INDEX(Stat_Phasing!$D$33:$K$38,MATCH($B12,Stat_Phasing!$B$33:$B$38,0),MATCH(AG$4,Stat_Phasing!$D$32:$K$32))</f>
        <v>0</v>
      </c>
      <c r="AH12" s="38">
        <f>$K12*INDEX(Stat_Phasing!$D$24:$K$29,MATCH($B12,Stat_Phasing!$B$24:$B$29,0),MATCH(AH$4,Stat_Phasing!$D$23:$K$23))+$L12*INDEX(Stat_Phasing!$D$33:$K$38,MATCH($B12,Stat_Phasing!$B$33:$B$38,0),MATCH(AH$4,Stat_Phasing!$D$32:$K$32))</f>
        <v>0</v>
      </c>
      <c r="AI12" s="38">
        <f>$K12*INDEX(Stat_Phasing!$D$24:$K$29,MATCH($B12,Stat_Phasing!$B$24:$B$29,0),MATCH(AI$4,Stat_Phasing!$D$23:$K$23))+$L12*INDEX(Stat_Phasing!$D$33:$K$38,MATCH($B12,Stat_Phasing!$B$33:$B$38,0),MATCH(AI$4,Stat_Phasing!$D$32:$K$32))</f>
        <v>54.900391683083164</v>
      </c>
      <c r="AJ12" s="38">
        <f>$K12*INDEX(Stat_Phasing!$D$24:$K$29,MATCH($B12,Stat_Phasing!$B$24:$B$29,0),MATCH(AJ$4,Stat_Phasing!$D$23:$K$23))+$L12*INDEX(Stat_Phasing!$D$33:$K$38,MATCH($B12,Stat_Phasing!$B$33:$B$38,0),MATCH(AJ$4,Stat_Phasing!$D$32:$K$32))</f>
        <v>219.60156673233266</v>
      </c>
      <c r="AK12" s="38">
        <f>$K12*INDEX(Stat_Phasing!$D$24:$K$29,MATCH($B12,Stat_Phasing!$B$24:$B$29,0),MATCH(AK$4,Stat_Phasing!$D$23:$K$23))+$L12*INDEX(Stat_Phasing!$D$33:$K$38,MATCH($B12,Stat_Phasing!$B$33:$B$38,0),MATCH(AK$4,Stat_Phasing!$D$32:$K$32))</f>
        <v>259.03129360160852</v>
      </c>
      <c r="AL12" s="38">
        <f>$K12*INDEX(Stat_Phasing!$D$24:$K$29,MATCH($B12,Stat_Phasing!$B$24:$B$29,0),MATCH(AL$4,Stat_Phasing!$D$23:$K$23))+$L12*INDEX(Stat_Phasing!$D$33:$K$38,MATCH($B12,Stat_Phasing!$B$33:$B$38,0),MATCH(AL$4,Stat_Phasing!$D$32:$K$32))</f>
        <v>240.85365896289917</v>
      </c>
      <c r="AM12" s="38">
        <f>$K12*INDEX(Stat_Phasing!$D$24:$K$29,MATCH($B12,Stat_Phasing!$B$24:$B$29,0),MATCH(AM$4,Stat_Phasing!$D$23:$K$23))+$L12*INDEX(Stat_Phasing!$D$33:$K$38,MATCH($B12,Stat_Phasing!$B$33:$B$38,0),MATCH(AM$4,Stat_Phasing!$D$32:$K$32))</f>
        <v>0</v>
      </c>
      <c r="AN12" s="38"/>
      <c r="AO12" s="38">
        <f>$M12*INDEX(Stat_Phasing!$D$42:$K$47,MATCH($B12,Stat_Phasing!$B$42:$B$47,0),MATCH(AO$4,Stat_Phasing!$D$41:$K$41))</f>
        <v>0</v>
      </c>
      <c r="AP12" s="38">
        <f>$M12*INDEX(Stat_Phasing!$D$42:$K$47,MATCH($B12,Stat_Phasing!$B$42:$B$47,0),MATCH(AP$4,Stat_Phasing!$D$41:$K$41))</f>
        <v>0</v>
      </c>
      <c r="AQ12" s="38">
        <f>$M12*INDEX(Stat_Phasing!$D$42:$K$47,MATCH($B12,Stat_Phasing!$B$42:$B$47,0),MATCH(AQ$4,Stat_Phasing!$D$41:$K$41))</f>
        <v>0</v>
      </c>
      <c r="AR12" s="38">
        <f>$M12*INDEX(Stat_Phasing!$D$42:$K$47,MATCH($B12,Stat_Phasing!$B$42:$B$47,0),MATCH(AR$4,Stat_Phasing!$D$41:$K$41))</f>
        <v>0</v>
      </c>
      <c r="AS12" s="38">
        <f>$M12*INDEX(Stat_Phasing!$D$42:$K$47,MATCH($B12,Stat_Phasing!$B$42:$B$47,0),MATCH(AS$4,Stat_Phasing!$D$41:$K$41))</f>
        <v>0</v>
      </c>
      <c r="AT12" s="38">
        <f>$M12*INDEX(Stat_Phasing!$D$42:$K$47,MATCH($B12,Stat_Phasing!$B$42:$B$47,0),MATCH(AT$4,Stat_Phasing!$D$41:$K$41))</f>
        <v>2.6615056248694335</v>
      </c>
      <c r="AU12" s="38">
        <f>$M12*INDEX(Stat_Phasing!$D$42:$K$47,MATCH($B12,Stat_Phasing!$B$42:$B$47,0),MATCH(AU$4,Stat_Phasing!$D$41:$K$41))</f>
        <v>2.2179213540578613</v>
      </c>
      <c r="AV12" s="38">
        <f>$M12*INDEX(Stat_Phasing!$D$42:$K$47,MATCH($B12,Stat_Phasing!$B$42:$B$47,0),MATCH(AV$4,Stat_Phasing!$D$41:$K$41))</f>
        <v>0</v>
      </c>
      <c r="AW12" s="6"/>
      <c r="AX12" s="6">
        <f t="shared" si="12"/>
        <v>0</v>
      </c>
      <c r="AY12" s="6">
        <f t="shared" si="13"/>
        <v>0</v>
      </c>
      <c r="AZ12" s="6">
        <f t="shared" si="14"/>
        <v>0</v>
      </c>
      <c r="BA12" s="6">
        <f t="shared" si="15"/>
        <v>70.131017474960416</v>
      </c>
      <c r="BB12" s="6">
        <f t="shared" si="16"/>
        <v>239.90906778816898</v>
      </c>
      <c r="BC12" s="6">
        <f t="shared" si="1"/>
        <v>1614.8675550653993</v>
      </c>
      <c r="BD12" s="6">
        <f t="shared" si="2"/>
        <v>1831.328523856316</v>
      </c>
      <c r="BE12" s="6">
        <f t="shared" si="3"/>
        <v>0</v>
      </c>
      <c r="BG12" s="14">
        <f t="shared" si="4"/>
        <v>3756.2361641848447</v>
      </c>
      <c r="BH12" s="38">
        <f t="shared" si="6"/>
        <v>0</v>
      </c>
      <c r="BJ12" s="38">
        <f t="shared" si="7"/>
        <v>0</v>
      </c>
      <c r="BK12" s="38">
        <f t="shared" si="8"/>
        <v>35.538126847713592</v>
      </c>
      <c r="BL12" s="38">
        <f t="shared" si="9"/>
        <v>274.5019584154158</v>
      </c>
      <c r="BM12" s="38">
        <f t="shared" si="10"/>
        <v>0</v>
      </c>
      <c r="BN12" s="38">
        <f t="shared" si="11"/>
        <v>0</v>
      </c>
      <c r="BO12" s="38"/>
      <c r="BP12" s="38"/>
      <c r="BQ12" s="38"/>
      <c r="BR12" s="38"/>
      <c r="BT12" s="16"/>
      <c r="BU12" s="16"/>
      <c r="BV12" s="16"/>
      <c r="BW12" s="16"/>
    </row>
    <row r="13" spans="2:75" x14ac:dyDescent="0.25">
      <c r="B13" s="165" t="str">
        <f>STN_2</f>
        <v>KLO</v>
      </c>
      <c r="C13" s="17">
        <f>INDEX(Schedule!$C$4:$E$9,MATCH($B13,Schedule!$B$4:$B$9,0),1)</f>
        <v>43692</v>
      </c>
      <c r="D13" s="17">
        <f>INDEX(Schedule!$C$4:$E$9,MATCH($B13,Schedule!$B$4:$B$9,0),2)</f>
        <v>44197</v>
      </c>
      <c r="E13" s="17">
        <f>INDEX(Schedule!$C$4:$E$9,MATCH($B13,Schedule!$B$4:$B$9,0),3)</f>
        <v>44896</v>
      </c>
      <c r="F13" s="676" t="s">
        <v>83</v>
      </c>
      <c r="G13" s="676" t="s">
        <v>211</v>
      </c>
      <c r="H13" s="676" t="str">
        <f>G13&amp;F13</f>
        <v>LandNon-Network</v>
      </c>
      <c r="I13" s="365">
        <f>INDEX(KLO_Det!$K$114:$O$118,MATCH($H13,KLO_Det!$F$114:$F$118,0),MATCH(I$3,KLO_Det!$K$4:$O$4,0))</f>
        <v>0</v>
      </c>
      <c r="J13" s="365">
        <f>INDEX(KLO_Det!$K$114:$O$118,MATCH($H13,KLO_Det!$F$114:$F$118,0),MATCH(J$3,KLO_Det!$K$4:$O$4,0))</f>
        <v>119.32441891546398</v>
      </c>
      <c r="K13" s="365">
        <f>INDEX(KLO_Det!$K$114:$O$118,MATCH($H13,KLO_Det!$F$114:$F$118,0),MATCH(K$3,KLO_Det!$K$4:$O$4,0))</f>
        <v>120.97052188628109</v>
      </c>
      <c r="L13" s="365">
        <f>INDEX(KLO_Det!$K$114:$O$118,MATCH($H13,KLO_Det!$F$114:$F$118,0),MATCH(L$3,KLO_Det!$K$4:$O$4,0))</f>
        <v>1415.0442477876099</v>
      </c>
      <c r="M13" s="365">
        <f>INDEX(KLO_Det!$K$114:$O$118,MATCH($H13,KLO_Det!$F$114:$F$118,0),MATCH(M$3,KLO_Det!$K$4:$O$4,0))</f>
        <v>0</v>
      </c>
      <c r="N13" s="38">
        <f>$I13*INDEX(Stat_Phasing!$D$6:$K$11,MATCH($B13,Stat_Phasing!$B$6:$B$11,0),MATCH(N$4,Stat_Phasing!$D$5:$K$5))</f>
        <v>0</v>
      </c>
      <c r="O13" s="38">
        <f>$I13*INDEX(Stat_Phasing!$D$6:$K$11,MATCH($B13,Stat_Phasing!$B$6:$B$11,0),MATCH(O$4,Stat_Phasing!$D$5:$K$5))</f>
        <v>0</v>
      </c>
      <c r="P13" s="38">
        <f>$I13*INDEX(Stat_Phasing!$D$6:$K$11,MATCH($B13,Stat_Phasing!$B$6:$B$11,0),MATCH(P$4,Stat_Phasing!$D$5:$K$5))</f>
        <v>0</v>
      </c>
      <c r="Q13" s="38">
        <f>$I13*INDEX(Stat_Phasing!$D$6:$K$11,MATCH($B13,Stat_Phasing!$B$6:$B$11,0),MATCH(Q$4,Stat_Phasing!$D$5:$K$5))</f>
        <v>0</v>
      </c>
      <c r="R13" s="38">
        <f>$I13*INDEX(Stat_Phasing!$D$6:$K$11,MATCH($B13,Stat_Phasing!$B$6:$B$11,0),MATCH(R$4,Stat_Phasing!$D$5:$K$5))</f>
        <v>0</v>
      </c>
      <c r="S13" s="38">
        <f>$I13*INDEX(Stat_Phasing!$D$6:$K$11,MATCH($B13,Stat_Phasing!$B$6:$B$11,0),MATCH(S$4,Stat_Phasing!$D$5:$K$5))</f>
        <v>0</v>
      </c>
      <c r="T13" s="38">
        <f>$I13*INDEX(Stat_Phasing!$D$6:$K$11,MATCH($B13,Stat_Phasing!$B$6:$B$11,0),MATCH(T$4,Stat_Phasing!$D$5:$K$5))</f>
        <v>0</v>
      </c>
      <c r="U13" s="38">
        <f>$I13*INDEX(Stat_Phasing!$D$6:$K$11,MATCH($B13,Stat_Phasing!$B$6:$B$11,0),MATCH(U$4,Stat_Phasing!$D$5:$K$5))</f>
        <v>0</v>
      </c>
      <c r="V13" s="38"/>
      <c r="W13" s="38">
        <f>$J13*INDEX(Stat_Phasing!$D$15:$K$20,MATCH($B13,Stat_Phasing!$B$15:$B$20,0),MATCH(W$4,Stat_Phasing!$D$14:$K$14))</f>
        <v>0</v>
      </c>
      <c r="X13" s="38">
        <f>$J13*INDEX(Stat_Phasing!$D$15:$K$20,MATCH($B13,Stat_Phasing!$B$15:$B$20,0),MATCH(X$4,Stat_Phasing!$D$14:$K$14))</f>
        <v>0</v>
      </c>
      <c r="Y13" s="38">
        <f>$J13*INDEX(Stat_Phasing!$D$15:$K$20,MATCH($B13,Stat_Phasing!$B$15:$B$20,0),MATCH(Y$4,Stat_Phasing!$D$14:$K$14))</f>
        <v>0</v>
      </c>
      <c r="Z13" s="38">
        <f>$J13*INDEX(Stat_Phasing!$D$15:$K$20,MATCH($B13,Stat_Phasing!$B$15:$B$20,0),MATCH(Z$4,Stat_Phasing!$D$14:$K$14))</f>
        <v>6.7119985639948494</v>
      </c>
      <c r="AA13" s="38">
        <f>$J13*INDEX(Stat_Phasing!$D$15:$K$20,MATCH($B13,Stat_Phasing!$B$15:$B$20,0),MATCH(AA$4,Stat_Phasing!$D$14:$K$14))</f>
        <v>8.9493314186597974</v>
      </c>
      <c r="AB13" s="38">
        <f>$J13*INDEX(Stat_Phasing!$D$15:$K$20,MATCH($B13,Stat_Phasing!$B$15:$B$20,0),MATCH(AB$4,Stat_Phasing!$D$14:$K$14))</f>
        <v>59.66220945773199</v>
      </c>
      <c r="AC13" s="38">
        <f>$J13*INDEX(Stat_Phasing!$D$15:$K$20,MATCH($B13,Stat_Phasing!$B$15:$B$20,0),MATCH(AC$4,Stat_Phasing!$D$14:$K$14))</f>
        <v>44.000879475077348</v>
      </c>
      <c r="AD13" s="38">
        <f>$J13*INDEX(Stat_Phasing!$D$15:$K$20,MATCH($B13,Stat_Phasing!$B$15:$B$20,0),MATCH(AD$4,Stat_Phasing!$D$14:$K$14))</f>
        <v>0</v>
      </c>
      <c r="AE13" s="38"/>
      <c r="AF13" s="38">
        <f>$K13*INDEX(Stat_Phasing!$D$24:$K$29,MATCH($B13,Stat_Phasing!$B$24:$B$29,0),MATCH(AF$4,Stat_Phasing!$D$23:$K$23))+$L13*INDEX(Stat_Phasing!$D$51:$K$56,MATCH($B13,Stat_Phasing!$B$51:$B$56,0),MATCH(AF$4,Stat_Phasing!$D$50:$K$50))</f>
        <v>0</v>
      </c>
      <c r="AG13" s="38">
        <f>$K13*INDEX(Stat_Phasing!$D$24:$K$29,MATCH($B13,Stat_Phasing!$B$24:$B$29,0),MATCH(AG$4,Stat_Phasing!$D$23:$K$23))+$L13*INDEX(Stat_Phasing!$D$51:$K$56,MATCH($B13,Stat_Phasing!$B$51:$B$56,0),MATCH(AG$4,Stat_Phasing!$D$50:$K$50))</f>
        <v>0</v>
      </c>
      <c r="AH13" s="38">
        <f>$K13*INDEX(Stat_Phasing!$D$24:$K$29,MATCH($B13,Stat_Phasing!$B$24:$B$29,0),MATCH(AH$4,Stat_Phasing!$D$23:$K$23))+$L13*INDEX(Stat_Phasing!$D$51:$K$56,MATCH($B13,Stat_Phasing!$B$51:$B$56,0),MATCH(AH$4,Stat_Phasing!$D$50:$K$50))</f>
        <v>0</v>
      </c>
      <c r="AI13" s="38">
        <f>$K13*INDEX(Stat_Phasing!$D$24:$K$29,MATCH($B13,Stat_Phasing!$B$24:$B$29,0),MATCH(AI$4,Stat_Phasing!$D$23:$K$23))+$L13*INDEX(Stat_Phasing!$D$51:$K$56,MATCH($B13,Stat_Phasing!$B$51:$B$56,0),MATCH(AI$4,Stat_Phasing!$D$50:$K$50))</f>
        <v>24.19410437725622</v>
      </c>
      <c r="AJ13" s="38">
        <f>$K13*INDEX(Stat_Phasing!$D$24:$K$29,MATCH($B13,Stat_Phasing!$B$24:$B$29,0),MATCH(AJ$4,Stat_Phasing!$D$23:$K$23))+$L13*INDEX(Stat_Phasing!$D$51:$K$56,MATCH($B13,Stat_Phasing!$B$51:$B$56,0),MATCH(AJ$4,Stat_Phasing!$D$50:$K$50))</f>
        <v>1511.8206652966348</v>
      </c>
      <c r="AK13" s="38">
        <f>$K13*INDEX(Stat_Phasing!$D$24:$K$29,MATCH($B13,Stat_Phasing!$B$24:$B$29,0),MATCH(AK$4,Stat_Phasing!$D$23:$K$23))+$L13*INDEX(Stat_Phasing!$D$51:$K$56,MATCH($B13,Stat_Phasing!$B$51:$B$56,0),MATCH(AK$4,Stat_Phasing!$D$50:$K$50))</f>
        <v>0</v>
      </c>
      <c r="AL13" s="38">
        <f>$K13*INDEX(Stat_Phasing!$D$24:$K$29,MATCH($B13,Stat_Phasing!$B$24:$B$29,0),MATCH(AL$4,Stat_Phasing!$D$23:$K$23))+$L13*INDEX(Stat_Phasing!$D$51:$K$56,MATCH($B13,Stat_Phasing!$B$51:$B$56,0),MATCH(AL$4,Stat_Phasing!$D$50:$K$50))</f>
        <v>0</v>
      </c>
      <c r="AM13" s="38">
        <f>$K13*INDEX(Stat_Phasing!$D$24:$K$29,MATCH($B13,Stat_Phasing!$B$24:$B$29,0),MATCH(AM$4,Stat_Phasing!$D$23:$K$23))+$L13*INDEX(Stat_Phasing!$D$51:$K$56,MATCH($B13,Stat_Phasing!$B$51:$B$56,0),MATCH(AM$4,Stat_Phasing!$D$50:$K$50))</f>
        <v>0</v>
      </c>
      <c r="AN13" s="38"/>
      <c r="AO13" s="38">
        <f>$M13*INDEX(Stat_Phasing!$D$42:$K$47,MATCH($B13,Stat_Phasing!$B$42:$B$47,0),MATCH(AO$4,Stat_Phasing!$D$41:$K$41))</f>
        <v>0</v>
      </c>
      <c r="AP13" s="38">
        <f>$M13*INDEX(Stat_Phasing!$D$42:$K$47,MATCH($B13,Stat_Phasing!$B$42:$B$47,0),MATCH(AP$4,Stat_Phasing!$D$41:$K$41))</f>
        <v>0</v>
      </c>
      <c r="AQ13" s="38">
        <f>$M13*INDEX(Stat_Phasing!$D$42:$K$47,MATCH($B13,Stat_Phasing!$B$42:$B$47,0),MATCH(AQ$4,Stat_Phasing!$D$41:$K$41))</f>
        <v>0</v>
      </c>
      <c r="AR13" s="38">
        <f>$M13*INDEX(Stat_Phasing!$D$42:$K$47,MATCH($B13,Stat_Phasing!$B$42:$B$47,0),MATCH(AR$4,Stat_Phasing!$D$41:$K$41))</f>
        <v>0</v>
      </c>
      <c r="AS13" s="38">
        <f>$M13*INDEX(Stat_Phasing!$D$42:$K$47,MATCH($B13,Stat_Phasing!$B$42:$B$47,0),MATCH(AS$4,Stat_Phasing!$D$41:$K$41))</f>
        <v>0</v>
      </c>
      <c r="AT13" s="38">
        <f>$M13*INDEX(Stat_Phasing!$D$42:$K$47,MATCH($B13,Stat_Phasing!$B$42:$B$47,0),MATCH(AT$4,Stat_Phasing!$D$41:$K$41))</f>
        <v>0</v>
      </c>
      <c r="AU13" s="38">
        <f>$M13*INDEX(Stat_Phasing!$D$42:$K$47,MATCH($B13,Stat_Phasing!$B$42:$B$47,0),MATCH(AU$4,Stat_Phasing!$D$41:$K$41))</f>
        <v>0</v>
      </c>
      <c r="AV13" s="38">
        <f>$M13*INDEX(Stat_Phasing!$D$42:$K$47,MATCH($B13,Stat_Phasing!$B$42:$B$47,0),MATCH(AV$4,Stat_Phasing!$D$41:$K$41))</f>
        <v>0</v>
      </c>
      <c r="AW13" s="6"/>
      <c r="AX13" s="6">
        <f t="shared" si="12"/>
        <v>0</v>
      </c>
      <c r="AY13" s="6">
        <f t="shared" si="13"/>
        <v>0</v>
      </c>
      <c r="AZ13" s="6">
        <f t="shared" si="14"/>
        <v>0</v>
      </c>
      <c r="BA13" s="6">
        <f t="shared" si="15"/>
        <v>30.906102941251071</v>
      </c>
      <c r="BB13" s="6">
        <f t="shared" si="16"/>
        <v>1520.7699967152946</v>
      </c>
      <c r="BC13" s="6">
        <f t="shared" si="1"/>
        <v>59.66220945773199</v>
      </c>
      <c r="BD13" s="6">
        <f t="shared" si="2"/>
        <v>44.000879475077348</v>
      </c>
      <c r="BE13" s="6">
        <f t="shared" si="3"/>
        <v>0</v>
      </c>
      <c r="BG13" s="14">
        <f t="shared" si="4"/>
        <v>1655.339188589355</v>
      </c>
      <c r="BH13" s="38">
        <f t="shared" si="6"/>
        <v>0</v>
      </c>
      <c r="BJ13" s="38">
        <f t="shared" si="7"/>
        <v>0</v>
      </c>
      <c r="BK13" s="38">
        <f t="shared" si="8"/>
        <v>15.661329982654646</v>
      </c>
      <c r="BL13" s="38">
        <f t="shared" si="9"/>
        <v>120.97052188628109</v>
      </c>
      <c r="BM13" s="38">
        <f t="shared" si="10"/>
        <v>1415.0442477876099</v>
      </c>
      <c r="BN13" s="38">
        <f t="shared" si="11"/>
        <v>0</v>
      </c>
      <c r="BO13" s="38"/>
      <c r="BP13" s="38"/>
      <c r="BQ13" s="38"/>
      <c r="BR13" s="38"/>
      <c r="BT13" s="16"/>
      <c r="BU13" s="16"/>
      <c r="BV13" s="16"/>
      <c r="BW13" s="16"/>
    </row>
    <row r="14" spans="2:75" x14ac:dyDescent="0.25">
      <c r="B14" s="165" t="str">
        <f>STN_3</f>
        <v>LLG</v>
      </c>
      <c r="C14" s="17">
        <f>INDEX(Schedule!$C$4:$E$9,MATCH($B14,Schedule!$B$4:$B$9,0),1)</f>
        <v>43692</v>
      </c>
      <c r="D14" s="17">
        <f>INDEX(Schedule!$C$4:$E$9,MATCH($B14,Schedule!$B$4:$B$9,0),2)</f>
        <v>44136</v>
      </c>
      <c r="E14" s="17">
        <f>INDEX(Schedule!$C$4:$E$9,MATCH($B14,Schedule!$B$4:$B$9,0),3)</f>
        <v>44621</v>
      </c>
      <c r="F14" s="676" t="s">
        <v>42</v>
      </c>
      <c r="G14" s="676" t="s">
        <v>18</v>
      </c>
      <c r="H14" s="676" t="str">
        <f t="shared" si="5"/>
        <v>SubtransmissionAugmentation</v>
      </c>
      <c r="I14" s="365">
        <f>INDEX(LLG_Det!$K$112:$O$116,MATCH($H14,LLG_Det!$F$112:$F$116,0),MATCH(I$3,LLG_Det!$K$4:$O$4,0))</f>
        <v>1801.7786707964592</v>
      </c>
      <c r="J14" s="365">
        <f>INDEX(LLG_Det!$K$112:$O$116,MATCH($H14,LLG_Det!$F$112:$F$116,0),MATCH(J$3,LLG_Det!$K$4:$O$4,0))</f>
        <v>691.13812645244741</v>
      </c>
      <c r="K14" s="365">
        <f>INDEX(LLG_Det!$K$112:$O$116,MATCH($H14,LLG_Det!$F$112:$F$116,0),MATCH(K$3,LLG_Det!$K$4:$O$4,0))</f>
        <v>786.66908794833</v>
      </c>
      <c r="L14" s="365">
        <f>INDEX(LLG_Det!$K$112:$O$116,MATCH($H14,LLG_Det!$F$112:$F$116,0),MATCH(L$3,LLG_Det!$K$4:$O$4,0))</f>
        <v>2529.5504350779161</v>
      </c>
      <c r="M14" s="365">
        <f>INDEX(LLG_Det!$K$112:$O$116,MATCH($H14,LLG_Det!$F$112:$F$116,0),MATCH(M$3,LLG_Det!$K$4:$O$4,0))</f>
        <v>115.28554159292034</v>
      </c>
      <c r="N14" s="38">
        <f>$I14*INDEX(Stat_Phasing!$D$6:$K$11,MATCH($B14,Stat_Phasing!$B$6:$B$11,0),MATCH(N$4,Stat_Phasing!$D$5:$K$5))</f>
        <v>0</v>
      </c>
      <c r="O14" s="38">
        <f>$I14*INDEX(Stat_Phasing!$D$6:$K$11,MATCH($B14,Stat_Phasing!$B$6:$B$11,0),MATCH(O$4,Stat_Phasing!$D$5:$K$5))</f>
        <v>0</v>
      </c>
      <c r="P14" s="38">
        <f>$I14*INDEX(Stat_Phasing!$D$6:$K$11,MATCH($B14,Stat_Phasing!$B$6:$B$11,0),MATCH(P$4,Stat_Phasing!$D$5:$K$5))</f>
        <v>0</v>
      </c>
      <c r="Q14" s="38">
        <f>$I14*INDEX(Stat_Phasing!$D$6:$K$11,MATCH($B14,Stat_Phasing!$B$6:$B$11,0),MATCH(Q$4,Stat_Phasing!$D$5:$K$5))</f>
        <v>0</v>
      </c>
      <c r="R14" s="38">
        <f>$I14*INDEX(Stat_Phasing!$D$6:$K$11,MATCH($B14,Stat_Phasing!$B$6:$B$11,0),MATCH(R$4,Stat_Phasing!$D$5:$K$5))</f>
        <v>270.26680061946888</v>
      </c>
      <c r="S14" s="38">
        <f>$I14*INDEX(Stat_Phasing!$D$6:$K$11,MATCH($B14,Stat_Phasing!$B$6:$B$11,0),MATCH(S$4,Stat_Phasing!$D$5:$K$5))</f>
        <v>1261.2450695575214</v>
      </c>
      <c r="T14" s="38">
        <f>$I14*INDEX(Stat_Phasing!$D$6:$K$11,MATCH($B14,Stat_Phasing!$B$6:$B$11,0),MATCH(T$4,Stat_Phasing!$D$5:$K$5))</f>
        <v>270.26680061946888</v>
      </c>
      <c r="U14" s="38">
        <f>$I14*INDEX(Stat_Phasing!$D$6:$K$11,MATCH($B14,Stat_Phasing!$B$6:$B$11,0),MATCH(U$4,Stat_Phasing!$D$5:$K$5))</f>
        <v>0</v>
      </c>
      <c r="V14" s="38"/>
      <c r="W14" s="38">
        <f>$J14*INDEX(Stat_Phasing!$D$15:$K$20,MATCH($B14,Stat_Phasing!$B$15:$B$20,0),MATCH(W$4,Stat_Phasing!$D$14:$K$14))</f>
        <v>0</v>
      </c>
      <c r="X14" s="38">
        <f>$J14*INDEX(Stat_Phasing!$D$15:$K$20,MATCH($B14,Stat_Phasing!$B$15:$B$20,0),MATCH(X$4,Stat_Phasing!$D$14:$K$14))</f>
        <v>0</v>
      </c>
      <c r="Y14" s="38">
        <f>$J14*INDEX(Stat_Phasing!$D$15:$K$20,MATCH($B14,Stat_Phasing!$B$15:$B$20,0),MATCH(Y$4,Stat_Phasing!$D$14:$K$14))</f>
        <v>0</v>
      </c>
      <c r="Z14" s="38">
        <f>$J14*INDEX(Stat_Phasing!$D$15:$K$20,MATCH($B14,Stat_Phasing!$B$15:$B$20,0),MATCH(Z$4,Stat_Phasing!$D$14:$K$14))</f>
        <v>38.876519612950176</v>
      </c>
      <c r="AA14" s="38">
        <f>$J14*INDEX(Stat_Phasing!$D$15:$K$20,MATCH($B14,Stat_Phasing!$B$15:$B$20,0),MATCH(AA$4,Stat_Phasing!$D$14:$K$14))</f>
        <v>112.30994554852271</v>
      </c>
      <c r="AB14" s="38">
        <f>$J14*INDEX(Stat_Phasing!$D$15:$K$20,MATCH($B14,Stat_Phasing!$B$15:$B$20,0),MATCH(AB$4,Stat_Phasing!$D$14:$K$14))</f>
        <v>449.23978219409082</v>
      </c>
      <c r="AC14" s="38">
        <f>$J14*INDEX(Stat_Phasing!$D$15:$K$20,MATCH($B14,Stat_Phasing!$B$15:$B$20,0),MATCH(AC$4,Stat_Phasing!$D$14:$K$14))</f>
        <v>90.711879096883706</v>
      </c>
      <c r="AD14" s="38">
        <f>$J14*INDEX(Stat_Phasing!$D$15:$K$20,MATCH($B14,Stat_Phasing!$B$15:$B$20,0),MATCH(AD$4,Stat_Phasing!$D$14:$K$14))</f>
        <v>0</v>
      </c>
      <c r="AE14" s="38"/>
      <c r="AF14" s="38">
        <f>$K14*INDEX(Stat_Phasing!$D$24:$K$29,MATCH($B14,Stat_Phasing!$B$24:$B$29,0),MATCH(AF$4,Stat_Phasing!$D$23:$K$23))+$L14*INDEX(Stat_Phasing!$D$33:$K$38,MATCH($B14,Stat_Phasing!$B$33:$B$38,0),MATCH(AF$4,Stat_Phasing!$D$32:$K$32))</f>
        <v>0</v>
      </c>
      <c r="AG14" s="38">
        <f>$K14*INDEX(Stat_Phasing!$D$24:$K$29,MATCH($B14,Stat_Phasing!$B$24:$B$29,0),MATCH(AG$4,Stat_Phasing!$D$23:$K$23))+$L14*INDEX(Stat_Phasing!$D$33:$K$38,MATCH($B14,Stat_Phasing!$B$33:$B$38,0),MATCH(AG$4,Stat_Phasing!$D$32:$K$32))</f>
        <v>0</v>
      </c>
      <c r="AH14" s="38">
        <f>$K14*INDEX(Stat_Phasing!$D$24:$K$29,MATCH($B14,Stat_Phasing!$B$24:$B$29,0),MATCH(AH$4,Stat_Phasing!$D$23:$K$23))+$L14*INDEX(Stat_Phasing!$D$33:$K$38,MATCH($B14,Stat_Phasing!$B$33:$B$38,0),MATCH(AH$4,Stat_Phasing!$D$32:$K$32))</f>
        <v>0</v>
      </c>
      <c r="AI14" s="38">
        <f>$K14*INDEX(Stat_Phasing!$D$24:$K$29,MATCH($B14,Stat_Phasing!$B$24:$B$29,0),MATCH(AI$4,Stat_Phasing!$D$23:$K$23))+$L14*INDEX(Stat_Phasing!$D$33:$K$38,MATCH($B14,Stat_Phasing!$B$33:$B$38,0),MATCH(AI$4,Stat_Phasing!$D$32:$K$32))</f>
        <v>157.33381758966601</v>
      </c>
      <c r="AJ14" s="38">
        <f>$K14*INDEX(Stat_Phasing!$D$24:$K$29,MATCH($B14,Stat_Phasing!$B$24:$B$29,0),MATCH(AJ$4,Stat_Phasing!$D$23:$K$23))+$L14*INDEX(Stat_Phasing!$D$33:$K$38,MATCH($B14,Stat_Phasing!$B$33:$B$38,0),MATCH(AJ$4,Stat_Phasing!$D$32:$K$32))</f>
        <v>819.05155298950774</v>
      </c>
      <c r="AK14" s="38">
        <f>$K14*INDEX(Stat_Phasing!$D$24:$K$29,MATCH($B14,Stat_Phasing!$B$24:$B$29,0),MATCH(AK$4,Stat_Phasing!$D$23:$K$23))+$L14*INDEX(Stat_Phasing!$D$33:$K$38,MATCH($B14,Stat_Phasing!$B$33:$B$38,0),MATCH(AK$4,Stat_Phasing!$D$32:$K$32))</f>
        <v>2150.1178698162289</v>
      </c>
      <c r="AL14" s="38">
        <f>$K14*INDEX(Stat_Phasing!$D$24:$K$29,MATCH($B14,Stat_Phasing!$B$24:$B$29,0),MATCH(AL$4,Stat_Phasing!$D$23:$K$23))+$L14*INDEX(Stat_Phasing!$D$33:$K$38,MATCH($B14,Stat_Phasing!$B$33:$B$38,0),MATCH(AL$4,Stat_Phasing!$D$32:$K$32))</f>
        <v>189.71628263084372</v>
      </c>
      <c r="AM14" s="38">
        <f>$K14*INDEX(Stat_Phasing!$D$24:$K$29,MATCH($B14,Stat_Phasing!$B$24:$B$29,0),MATCH(AM$4,Stat_Phasing!$D$23:$K$23))+$L14*INDEX(Stat_Phasing!$D$33:$K$38,MATCH($B14,Stat_Phasing!$B$33:$B$38,0),MATCH(AM$4,Stat_Phasing!$D$32:$K$32))</f>
        <v>0</v>
      </c>
      <c r="AN14" s="38"/>
      <c r="AO14" s="38">
        <f>$M14*INDEX(Stat_Phasing!$D$42:$K$47,MATCH($B14,Stat_Phasing!$B$42:$B$47,0),MATCH(AO$4,Stat_Phasing!$D$41:$K$41))</f>
        <v>0</v>
      </c>
      <c r="AP14" s="38">
        <f>$M14*INDEX(Stat_Phasing!$D$42:$K$47,MATCH($B14,Stat_Phasing!$B$42:$B$47,0),MATCH(AP$4,Stat_Phasing!$D$41:$K$41))</f>
        <v>0</v>
      </c>
      <c r="AQ14" s="38">
        <f>$M14*INDEX(Stat_Phasing!$D$42:$K$47,MATCH($B14,Stat_Phasing!$B$42:$B$47,0),MATCH(AQ$4,Stat_Phasing!$D$41:$K$41))</f>
        <v>0</v>
      </c>
      <c r="AR14" s="38">
        <f>$M14*INDEX(Stat_Phasing!$D$42:$K$47,MATCH($B14,Stat_Phasing!$B$42:$B$47,0),MATCH(AR$4,Stat_Phasing!$D$41:$K$41))</f>
        <v>0</v>
      </c>
      <c r="AS14" s="38">
        <f>$M14*INDEX(Stat_Phasing!$D$42:$K$47,MATCH($B14,Stat_Phasing!$B$42:$B$47,0),MATCH(AS$4,Stat_Phasing!$D$41:$K$41))</f>
        <v>14.410692699115039</v>
      </c>
      <c r="AT14" s="38">
        <f>$M14*INDEX(Stat_Phasing!$D$42:$K$47,MATCH($B14,Stat_Phasing!$B$42:$B$47,0),MATCH(AT$4,Stat_Phasing!$D$41:$K$41))</f>
        <v>86.464156194690261</v>
      </c>
      <c r="AU14" s="38">
        <f>$M14*INDEX(Stat_Phasing!$D$42:$K$47,MATCH($B14,Stat_Phasing!$B$42:$B$47,0),MATCH(AU$4,Stat_Phasing!$D$41:$K$41))</f>
        <v>14.410692699115039</v>
      </c>
      <c r="AV14" s="38">
        <f>$M14*INDEX(Stat_Phasing!$D$42:$K$47,MATCH($B14,Stat_Phasing!$B$42:$B$47,0),MATCH(AV$4,Stat_Phasing!$D$41:$K$41))</f>
        <v>0</v>
      </c>
      <c r="AW14" s="6"/>
      <c r="AX14" s="6">
        <f t="shared" si="12"/>
        <v>0</v>
      </c>
      <c r="AY14" s="6">
        <f t="shared" si="13"/>
        <v>0</v>
      </c>
      <c r="AZ14" s="6">
        <f t="shared" si="14"/>
        <v>0</v>
      </c>
      <c r="BA14" s="6">
        <f t="shared" si="15"/>
        <v>196.21033720261619</v>
      </c>
      <c r="BB14" s="6">
        <f t="shared" si="16"/>
        <v>1216.0389918566145</v>
      </c>
      <c r="BC14" s="6">
        <f t="shared" si="1"/>
        <v>3947.0668777625315</v>
      </c>
      <c r="BD14" s="6">
        <f t="shared" si="2"/>
        <v>565.10565504631143</v>
      </c>
      <c r="BE14" s="6">
        <f t="shared" si="3"/>
        <v>0</v>
      </c>
      <c r="BG14" s="14">
        <f t="shared" si="4"/>
        <v>5924.4218618680743</v>
      </c>
      <c r="BH14" s="38">
        <f t="shared" si="6"/>
        <v>0</v>
      </c>
      <c r="BJ14" s="38">
        <f t="shared" si="7"/>
        <v>270.26680061946888</v>
      </c>
      <c r="BK14" s="38">
        <f t="shared" si="8"/>
        <v>151.18646516147288</v>
      </c>
      <c r="BL14" s="38">
        <f t="shared" si="9"/>
        <v>786.66908794833</v>
      </c>
      <c r="BM14" s="38">
        <f t="shared" si="10"/>
        <v>189.71628263084369</v>
      </c>
      <c r="BN14" s="38">
        <f t="shared" si="11"/>
        <v>14.410692699115039</v>
      </c>
      <c r="BO14" s="38"/>
      <c r="BP14" s="38"/>
      <c r="BQ14" s="38"/>
      <c r="BR14" s="38"/>
      <c r="BT14" s="16"/>
      <c r="BU14" s="16"/>
      <c r="BV14" s="16"/>
      <c r="BW14" s="16"/>
    </row>
    <row r="15" spans="2:75" x14ac:dyDescent="0.25">
      <c r="B15" s="165" t="str">
        <f>STN_3</f>
        <v>LLG</v>
      </c>
      <c r="C15" s="17">
        <f>INDEX(Schedule!$C$4:$E$9,MATCH($B15,Schedule!$B$4:$B$9,0),1)</f>
        <v>43692</v>
      </c>
      <c r="D15" s="17">
        <f>INDEX(Schedule!$C$4:$E$9,MATCH($B15,Schedule!$B$4:$B$9,0),2)</f>
        <v>44136</v>
      </c>
      <c r="E15" s="17">
        <f>INDEX(Schedule!$C$4:$E$9,MATCH($B15,Schedule!$B$4:$B$9,0),3)</f>
        <v>44621</v>
      </c>
      <c r="F15" s="676" t="s">
        <v>42</v>
      </c>
      <c r="G15" s="676" t="s">
        <v>22</v>
      </c>
      <c r="H15" s="676" t="str">
        <f t="shared" si="5"/>
        <v>SCADA/Network controlAugmentation</v>
      </c>
      <c r="I15" s="365">
        <f>INDEX(LLG_Det!$K$112:$O$116,MATCH($H15,LLG_Det!$F$112:$F$116,0),MATCH(I$3,LLG_Det!$K$4:$O$4,0))</f>
        <v>1558.9088223804695</v>
      </c>
      <c r="J15" s="365">
        <f>INDEX(LLG_Det!$K$112:$O$116,MATCH($H15,LLG_Det!$F$112:$F$116,0),MATCH(J$3,LLG_Det!$K$4:$O$4,0))</f>
        <v>303.42596179857401</v>
      </c>
      <c r="K15" s="365">
        <f>INDEX(LLG_Det!$K$112:$O$116,MATCH($H15,LLG_Det!$F$112:$F$116,0),MATCH(K$3,LLG_Det!$K$4:$O$4,0))</f>
        <v>345.36631028175827</v>
      </c>
      <c r="L15" s="365">
        <f>INDEX(LLG_Det!$K$112:$O$116,MATCH($H15,LLG_Det!$F$112:$F$116,0),MATCH(L$3,LLG_Det!$K$4:$O$4,0))</f>
        <v>388.19349852899205</v>
      </c>
      <c r="M15" s="365">
        <f>INDEX(LLG_Det!$K$112:$O$116,MATCH($H15,LLG_Det!$F$112:$F$116,0),MATCH(M$3,LLG_Det!$K$4:$O$4,0))</f>
        <v>5.066535815045043</v>
      </c>
      <c r="N15" s="38">
        <f>$I15*INDEX(Stat_Phasing!$D$6:$K$11,MATCH($B15,Stat_Phasing!$B$6:$B$11,0),MATCH(N$4,Stat_Phasing!$D$5:$K$5))</f>
        <v>0</v>
      </c>
      <c r="O15" s="38">
        <f>$I15*INDEX(Stat_Phasing!$D$6:$K$11,MATCH($B15,Stat_Phasing!$B$6:$B$11,0),MATCH(O$4,Stat_Phasing!$D$5:$K$5))</f>
        <v>0</v>
      </c>
      <c r="P15" s="38">
        <f>$I15*INDEX(Stat_Phasing!$D$6:$K$11,MATCH($B15,Stat_Phasing!$B$6:$B$11,0),MATCH(P$4,Stat_Phasing!$D$5:$K$5))</f>
        <v>0</v>
      </c>
      <c r="Q15" s="38">
        <f>$I15*INDEX(Stat_Phasing!$D$6:$K$11,MATCH($B15,Stat_Phasing!$B$6:$B$11,0),MATCH(Q$4,Stat_Phasing!$D$5:$K$5))</f>
        <v>0</v>
      </c>
      <c r="R15" s="38">
        <f>$I15*INDEX(Stat_Phasing!$D$6:$K$11,MATCH($B15,Stat_Phasing!$B$6:$B$11,0),MATCH(R$4,Stat_Phasing!$D$5:$K$5))</f>
        <v>233.8363233570704</v>
      </c>
      <c r="S15" s="38">
        <f>$I15*INDEX(Stat_Phasing!$D$6:$K$11,MATCH($B15,Stat_Phasing!$B$6:$B$11,0),MATCH(S$4,Stat_Phasing!$D$5:$K$5))</f>
        <v>1091.2361756663286</v>
      </c>
      <c r="T15" s="38">
        <f>$I15*INDEX(Stat_Phasing!$D$6:$K$11,MATCH($B15,Stat_Phasing!$B$6:$B$11,0),MATCH(T$4,Stat_Phasing!$D$5:$K$5))</f>
        <v>233.8363233570704</v>
      </c>
      <c r="U15" s="38">
        <f>$I15*INDEX(Stat_Phasing!$D$6:$K$11,MATCH($B15,Stat_Phasing!$B$6:$B$11,0),MATCH(U$4,Stat_Phasing!$D$5:$K$5))</f>
        <v>0</v>
      </c>
      <c r="V15" s="38"/>
      <c r="W15" s="38">
        <f>$J15*INDEX(Stat_Phasing!$D$15:$K$20,MATCH($B15,Stat_Phasing!$B$15:$B$20,0),MATCH(W$4,Stat_Phasing!$D$14:$K$14))</f>
        <v>0</v>
      </c>
      <c r="X15" s="38">
        <f>$J15*INDEX(Stat_Phasing!$D$15:$K$20,MATCH($B15,Stat_Phasing!$B$15:$B$20,0),MATCH(X$4,Stat_Phasing!$D$14:$K$14))</f>
        <v>0</v>
      </c>
      <c r="Y15" s="38">
        <f>$J15*INDEX(Stat_Phasing!$D$15:$K$20,MATCH($B15,Stat_Phasing!$B$15:$B$20,0),MATCH(Y$4,Stat_Phasing!$D$14:$K$14))</f>
        <v>0</v>
      </c>
      <c r="Z15" s="38">
        <f>$J15*INDEX(Stat_Phasing!$D$15:$K$20,MATCH($B15,Stat_Phasing!$B$15:$B$20,0),MATCH(Z$4,Stat_Phasing!$D$14:$K$14))</f>
        <v>17.06771035116979</v>
      </c>
      <c r="AA15" s="38">
        <f>$J15*INDEX(Stat_Phasing!$D$15:$K$20,MATCH($B15,Stat_Phasing!$B$15:$B$20,0),MATCH(AA$4,Stat_Phasing!$D$14:$K$14))</f>
        <v>49.306718792268278</v>
      </c>
      <c r="AB15" s="38">
        <f>$J15*INDEX(Stat_Phasing!$D$15:$K$20,MATCH($B15,Stat_Phasing!$B$15:$B$20,0),MATCH(AB$4,Stat_Phasing!$D$14:$K$14))</f>
        <v>197.22687516907311</v>
      </c>
      <c r="AC15" s="38">
        <f>$J15*INDEX(Stat_Phasing!$D$15:$K$20,MATCH($B15,Stat_Phasing!$B$15:$B$20,0),MATCH(AC$4,Stat_Phasing!$D$14:$K$14))</f>
        <v>39.824657486062833</v>
      </c>
      <c r="AD15" s="38">
        <f>$J15*INDEX(Stat_Phasing!$D$15:$K$20,MATCH($B15,Stat_Phasing!$B$15:$B$20,0),MATCH(AD$4,Stat_Phasing!$D$14:$K$14))</f>
        <v>0</v>
      </c>
      <c r="AE15" s="38"/>
      <c r="AF15" s="38">
        <f>$K15*INDEX(Stat_Phasing!$D$24:$K$29,MATCH($B15,Stat_Phasing!$B$24:$B$29,0),MATCH(AF$4,Stat_Phasing!$D$23:$K$23))+$L15*INDEX(Stat_Phasing!$D$33:$K$38,MATCH($B15,Stat_Phasing!$B$33:$B$38,0),MATCH(AF$4,Stat_Phasing!$D$32:$K$32))</f>
        <v>0</v>
      </c>
      <c r="AG15" s="38">
        <f>$K15*INDEX(Stat_Phasing!$D$24:$K$29,MATCH($B15,Stat_Phasing!$B$24:$B$29,0),MATCH(AG$4,Stat_Phasing!$D$23:$K$23))+$L15*INDEX(Stat_Phasing!$D$33:$K$38,MATCH($B15,Stat_Phasing!$B$33:$B$38,0),MATCH(AG$4,Stat_Phasing!$D$32:$K$32))</f>
        <v>0</v>
      </c>
      <c r="AH15" s="38">
        <f>$K15*INDEX(Stat_Phasing!$D$24:$K$29,MATCH($B15,Stat_Phasing!$B$24:$B$29,0),MATCH(AH$4,Stat_Phasing!$D$23:$K$23))+$L15*INDEX(Stat_Phasing!$D$33:$K$38,MATCH($B15,Stat_Phasing!$B$33:$B$38,0),MATCH(AH$4,Stat_Phasing!$D$32:$K$32))</f>
        <v>0</v>
      </c>
      <c r="AI15" s="38">
        <f>$K15*INDEX(Stat_Phasing!$D$24:$K$29,MATCH($B15,Stat_Phasing!$B$24:$B$29,0),MATCH(AI$4,Stat_Phasing!$D$23:$K$23))+$L15*INDEX(Stat_Phasing!$D$33:$K$38,MATCH($B15,Stat_Phasing!$B$33:$B$38,0),MATCH(AI$4,Stat_Phasing!$D$32:$K$32))</f>
        <v>69.073262056351652</v>
      </c>
      <c r="AJ15" s="38">
        <f>$K15*INDEX(Stat_Phasing!$D$24:$K$29,MATCH($B15,Stat_Phasing!$B$24:$B$29,0),MATCH(AJ$4,Stat_Phasing!$D$23:$K$23))+$L15*INDEX(Stat_Phasing!$D$33:$K$38,MATCH($B15,Stat_Phasing!$B$33:$B$38,0),MATCH(AJ$4,Stat_Phasing!$D$32:$K$32))</f>
        <v>305.40756061508102</v>
      </c>
      <c r="AK15" s="38">
        <f>$K15*INDEX(Stat_Phasing!$D$24:$K$29,MATCH($B15,Stat_Phasing!$B$24:$B$29,0),MATCH(AK$4,Stat_Phasing!$D$23:$K$23))+$L15*INDEX(Stat_Phasing!$D$33:$K$38,MATCH($B15,Stat_Phasing!$B$33:$B$38,0),MATCH(AK$4,Stat_Phasing!$D$32:$K$32))</f>
        <v>329.96447374964328</v>
      </c>
      <c r="AL15" s="38">
        <f>$K15*INDEX(Stat_Phasing!$D$24:$K$29,MATCH($B15,Stat_Phasing!$B$24:$B$29,0),MATCH(AL$4,Stat_Phasing!$D$23:$K$23))+$L15*INDEX(Stat_Phasing!$D$33:$K$38,MATCH($B15,Stat_Phasing!$B$33:$B$38,0),MATCH(AL$4,Stat_Phasing!$D$32:$K$32))</f>
        <v>29.11451238967441</v>
      </c>
      <c r="AM15" s="38">
        <f>$K15*INDEX(Stat_Phasing!$D$24:$K$29,MATCH($B15,Stat_Phasing!$B$24:$B$29,0),MATCH(AM$4,Stat_Phasing!$D$23:$K$23))+$L15*INDEX(Stat_Phasing!$D$33:$K$38,MATCH($B15,Stat_Phasing!$B$33:$B$38,0),MATCH(AM$4,Stat_Phasing!$D$32:$K$32))</f>
        <v>0</v>
      </c>
      <c r="AN15" s="38"/>
      <c r="AO15" s="38">
        <f>$M15*INDEX(Stat_Phasing!$D$42:$K$47,MATCH($B15,Stat_Phasing!$B$42:$B$47,0),MATCH(AO$4,Stat_Phasing!$D$41:$K$41))</f>
        <v>0</v>
      </c>
      <c r="AP15" s="38">
        <f>$M15*INDEX(Stat_Phasing!$D$42:$K$47,MATCH($B15,Stat_Phasing!$B$42:$B$47,0),MATCH(AP$4,Stat_Phasing!$D$41:$K$41))</f>
        <v>0</v>
      </c>
      <c r="AQ15" s="38">
        <f>$M15*INDEX(Stat_Phasing!$D$42:$K$47,MATCH($B15,Stat_Phasing!$B$42:$B$47,0),MATCH(AQ$4,Stat_Phasing!$D$41:$K$41))</f>
        <v>0</v>
      </c>
      <c r="AR15" s="38">
        <f>$M15*INDEX(Stat_Phasing!$D$42:$K$47,MATCH($B15,Stat_Phasing!$B$42:$B$47,0),MATCH(AR$4,Stat_Phasing!$D$41:$K$41))</f>
        <v>0</v>
      </c>
      <c r="AS15" s="38">
        <f>$M15*INDEX(Stat_Phasing!$D$42:$K$47,MATCH($B15,Stat_Phasing!$B$42:$B$47,0),MATCH(AS$4,Stat_Phasing!$D$41:$K$41))</f>
        <v>0.63331697688063027</v>
      </c>
      <c r="AT15" s="38">
        <f>$M15*INDEX(Stat_Phasing!$D$42:$K$47,MATCH($B15,Stat_Phasing!$B$42:$B$47,0),MATCH(AT$4,Stat_Phasing!$D$41:$K$41))</f>
        <v>3.7999018612837827</v>
      </c>
      <c r="AU15" s="38">
        <f>$M15*INDEX(Stat_Phasing!$D$42:$K$47,MATCH($B15,Stat_Phasing!$B$42:$B$47,0),MATCH(AU$4,Stat_Phasing!$D$41:$K$41))</f>
        <v>0.63331697688063027</v>
      </c>
      <c r="AV15" s="38">
        <f>$M15*INDEX(Stat_Phasing!$D$42:$K$47,MATCH($B15,Stat_Phasing!$B$42:$B$47,0),MATCH(AV$4,Stat_Phasing!$D$41:$K$41))</f>
        <v>0</v>
      </c>
      <c r="AW15" s="6"/>
      <c r="AX15" s="6">
        <f t="shared" si="12"/>
        <v>0</v>
      </c>
      <c r="AY15" s="6">
        <f t="shared" si="13"/>
        <v>0</v>
      </c>
      <c r="AZ15" s="6">
        <f t="shared" si="14"/>
        <v>0</v>
      </c>
      <c r="BA15" s="6">
        <f t="shared" si="15"/>
        <v>86.140972407521446</v>
      </c>
      <c r="BB15" s="6">
        <f t="shared" si="16"/>
        <v>589.18391974130031</v>
      </c>
      <c r="BC15" s="6">
        <f t="shared" si="1"/>
        <v>1622.2274264463288</v>
      </c>
      <c r="BD15" s="6">
        <f t="shared" si="2"/>
        <v>303.40881020968828</v>
      </c>
      <c r="BE15" s="6">
        <f t="shared" si="3"/>
        <v>0</v>
      </c>
      <c r="BG15" s="14">
        <f t="shared" si="4"/>
        <v>2600.9611288048391</v>
      </c>
      <c r="BH15" s="38">
        <f t="shared" si="6"/>
        <v>0</v>
      </c>
      <c r="BJ15" s="38">
        <f t="shared" si="7"/>
        <v>233.8363233570704</v>
      </c>
      <c r="BK15" s="38">
        <f t="shared" si="8"/>
        <v>66.374429143438064</v>
      </c>
      <c r="BL15" s="38">
        <f t="shared" si="9"/>
        <v>345.36631028175827</v>
      </c>
      <c r="BM15" s="38">
        <f t="shared" si="10"/>
        <v>29.114512389674417</v>
      </c>
      <c r="BN15" s="38">
        <f t="shared" si="11"/>
        <v>0.63331697688063027</v>
      </c>
      <c r="BO15" s="38"/>
      <c r="BP15" s="38"/>
      <c r="BQ15" s="38"/>
      <c r="BR15" s="38"/>
      <c r="BT15" s="16"/>
      <c r="BU15" s="16"/>
      <c r="BV15" s="16"/>
      <c r="BW15" s="16"/>
    </row>
    <row r="16" spans="2:75" x14ac:dyDescent="0.25">
      <c r="B16" s="165" t="str">
        <f>STN_3</f>
        <v>LLG</v>
      </c>
      <c r="C16" s="17">
        <f>INDEX(Schedule!$C$4:$E$9,MATCH($B16,Schedule!$B$4:$B$9,0),1)</f>
        <v>43692</v>
      </c>
      <c r="D16" s="17">
        <f>INDEX(Schedule!$C$4:$E$9,MATCH($B16,Schedule!$B$4:$B$9,0),2)</f>
        <v>44136</v>
      </c>
      <c r="E16" s="17">
        <f>INDEX(Schedule!$C$4:$E$9,MATCH($B16,Schedule!$B$4:$B$9,0),3)</f>
        <v>44621</v>
      </c>
      <c r="F16" s="676" t="s">
        <v>83</v>
      </c>
      <c r="G16" s="676" t="s">
        <v>211</v>
      </c>
      <c r="H16" s="676" t="str">
        <f>G16&amp;F16</f>
        <v>LandNon-Network</v>
      </c>
      <c r="I16" s="365">
        <f>INDEX(LLG_Det!$K$112:$O$116,MATCH($H16,LLG_Det!$F$112:$F$116,0),MATCH(I$3,LLG_Det!$K$4:$O$4,0))</f>
        <v>0</v>
      </c>
      <c r="J16" s="365">
        <f>INDEX(LLG_Det!$K$112:$O$116,MATCH($H16,LLG_Det!$F$112:$F$116,0),MATCH(J$3,LLG_Det!$K$4:$O$4,0))</f>
        <v>0</v>
      </c>
      <c r="K16" s="365">
        <f>INDEX(LLG_Det!$K$112:$O$116,MATCH($H16,LLG_Det!$F$112:$F$116,0),MATCH(K$3,LLG_Det!$K$4:$O$4,0))</f>
        <v>0</v>
      </c>
      <c r="L16" s="365">
        <f>INDEX(LLG_Det!$K$112:$O$116,MATCH($H16,LLG_Det!$F$112:$F$116,0),MATCH(L$3,LLG_Det!$K$4:$O$4,0))</f>
        <v>0</v>
      </c>
      <c r="M16" s="365">
        <f>INDEX(LLG_Det!$K$112:$O$116,MATCH($H16,LLG_Det!$F$112:$F$116,0),MATCH(M$3,LLG_Det!$K$4:$O$4,0))</f>
        <v>0</v>
      </c>
      <c r="N16" s="38">
        <f>$I16*INDEX(Stat_Phasing!$D$6:$K$11,MATCH($B16,Stat_Phasing!$B$6:$B$11,0),MATCH(N$4,Stat_Phasing!$D$5:$K$5))</f>
        <v>0</v>
      </c>
      <c r="O16" s="38">
        <f>$I16*INDEX(Stat_Phasing!$D$6:$K$11,MATCH($B16,Stat_Phasing!$B$6:$B$11,0),MATCH(O$4,Stat_Phasing!$D$5:$K$5))</f>
        <v>0</v>
      </c>
      <c r="P16" s="38">
        <f>$I16*INDEX(Stat_Phasing!$D$6:$K$11,MATCH($B16,Stat_Phasing!$B$6:$B$11,0),MATCH(P$4,Stat_Phasing!$D$5:$K$5))</f>
        <v>0</v>
      </c>
      <c r="Q16" s="38">
        <f>$I16*INDEX(Stat_Phasing!$D$6:$K$11,MATCH($B16,Stat_Phasing!$B$6:$B$11,0),MATCH(Q$4,Stat_Phasing!$D$5:$K$5))</f>
        <v>0</v>
      </c>
      <c r="R16" s="38">
        <f>$I16*INDEX(Stat_Phasing!$D$6:$K$11,MATCH($B16,Stat_Phasing!$B$6:$B$11,0),MATCH(R$4,Stat_Phasing!$D$5:$K$5))</f>
        <v>0</v>
      </c>
      <c r="S16" s="38">
        <f>$I16*INDEX(Stat_Phasing!$D$6:$K$11,MATCH($B16,Stat_Phasing!$B$6:$B$11,0),MATCH(S$4,Stat_Phasing!$D$5:$K$5))</f>
        <v>0</v>
      </c>
      <c r="T16" s="38">
        <f>$I16*INDEX(Stat_Phasing!$D$6:$K$11,MATCH($B16,Stat_Phasing!$B$6:$B$11,0),MATCH(T$4,Stat_Phasing!$D$5:$K$5))</f>
        <v>0</v>
      </c>
      <c r="U16" s="38">
        <f>$I16*INDEX(Stat_Phasing!$D$6:$K$11,MATCH($B16,Stat_Phasing!$B$6:$B$11,0),MATCH(U$4,Stat_Phasing!$D$5:$K$5))</f>
        <v>0</v>
      </c>
      <c r="V16" s="38"/>
      <c r="W16" s="38">
        <f>$J16*INDEX(Stat_Phasing!$D$15:$K$20,MATCH($B16,Stat_Phasing!$B$15:$B$20,0),MATCH(W$4,Stat_Phasing!$D$14:$K$14))</f>
        <v>0</v>
      </c>
      <c r="X16" s="38">
        <f>$J16*INDEX(Stat_Phasing!$D$15:$K$20,MATCH($B16,Stat_Phasing!$B$15:$B$20,0),MATCH(X$4,Stat_Phasing!$D$14:$K$14))</f>
        <v>0</v>
      </c>
      <c r="Y16" s="38">
        <f>$J16*INDEX(Stat_Phasing!$D$15:$K$20,MATCH($B16,Stat_Phasing!$B$15:$B$20,0),MATCH(Y$4,Stat_Phasing!$D$14:$K$14))</f>
        <v>0</v>
      </c>
      <c r="Z16" s="38">
        <f>$J16*INDEX(Stat_Phasing!$D$15:$K$20,MATCH($B16,Stat_Phasing!$B$15:$B$20,0),MATCH(Z$4,Stat_Phasing!$D$14:$K$14))</f>
        <v>0</v>
      </c>
      <c r="AA16" s="38">
        <f>$J16*INDEX(Stat_Phasing!$D$15:$K$20,MATCH($B16,Stat_Phasing!$B$15:$B$20,0),MATCH(AA$4,Stat_Phasing!$D$14:$K$14))</f>
        <v>0</v>
      </c>
      <c r="AB16" s="38">
        <f>$J16*INDEX(Stat_Phasing!$D$15:$K$20,MATCH($B16,Stat_Phasing!$B$15:$B$20,0),MATCH(AB$4,Stat_Phasing!$D$14:$K$14))</f>
        <v>0</v>
      </c>
      <c r="AC16" s="38">
        <f>$J16*INDEX(Stat_Phasing!$D$15:$K$20,MATCH($B16,Stat_Phasing!$B$15:$B$20,0),MATCH(AC$4,Stat_Phasing!$D$14:$K$14))</f>
        <v>0</v>
      </c>
      <c r="AD16" s="38">
        <f>$J16*INDEX(Stat_Phasing!$D$15:$K$20,MATCH($B16,Stat_Phasing!$B$15:$B$20,0),MATCH(AD$4,Stat_Phasing!$D$14:$K$14))</f>
        <v>0</v>
      </c>
      <c r="AE16" s="38"/>
      <c r="AF16" s="38">
        <f>$K16*INDEX(Stat_Phasing!$D$24:$K$29,MATCH($B16,Stat_Phasing!$B$24:$B$29,0),MATCH(AF$4,Stat_Phasing!$D$23:$K$23))+$L16*INDEX(Stat_Phasing!$D$33:$K$38,MATCH($B16,Stat_Phasing!$B$33:$B$38,0),MATCH(AF$4,Stat_Phasing!$D$32:$K$32))</f>
        <v>0</v>
      </c>
      <c r="AG16" s="38">
        <f>$K16*INDEX(Stat_Phasing!$D$24:$K$29,MATCH($B16,Stat_Phasing!$B$24:$B$29,0),MATCH(AG$4,Stat_Phasing!$D$23:$K$23))+$L16*INDEX(Stat_Phasing!$D$33:$K$38,MATCH($B16,Stat_Phasing!$B$33:$B$38,0),MATCH(AG$4,Stat_Phasing!$D$32:$K$32))</f>
        <v>0</v>
      </c>
      <c r="AH16" s="38">
        <f>$K16*INDEX(Stat_Phasing!$D$24:$K$29,MATCH($B16,Stat_Phasing!$B$24:$B$29,0),MATCH(AH$4,Stat_Phasing!$D$23:$K$23))+$L16*INDEX(Stat_Phasing!$D$33:$K$38,MATCH($B16,Stat_Phasing!$B$33:$B$38,0),MATCH(AH$4,Stat_Phasing!$D$32:$K$32))</f>
        <v>0</v>
      </c>
      <c r="AI16" s="38">
        <f>$K16*INDEX(Stat_Phasing!$D$24:$K$29,MATCH($B16,Stat_Phasing!$B$24:$B$29,0),MATCH(AI$4,Stat_Phasing!$D$23:$K$23))+$L16*INDEX(Stat_Phasing!$D$33:$K$38,MATCH($B16,Stat_Phasing!$B$33:$B$38,0),MATCH(AI$4,Stat_Phasing!$D$32:$K$32))</f>
        <v>0</v>
      </c>
      <c r="AJ16" s="38">
        <f>$K16*INDEX(Stat_Phasing!$D$24:$K$29,MATCH($B16,Stat_Phasing!$B$24:$B$29,0),MATCH(AJ$4,Stat_Phasing!$D$23:$K$23))+$L16*INDEX(Stat_Phasing!$D$33:$K$38,MATCH($B16,Stat_Phasing!$B$33:$B$38,0),MATCH(AJ$4,Stat_Phasing!$D$32:$K$32))</f>
        <v>0</v>
      </c>
      <c r="AK16" s="38">
        <f>$K16*INDEX(Stat_Phasing!$D$24:$K$29,MATCH($B16,Stat_Phasing!$B$24:$B$29,0),MATCH(AK$4,Stat_Phasing!$D$23:$K$23))+$L16*INDEX(Stat_Phasing!$D$33:$K$38,MATCH($B16,Stat_Phasing!$B$33:$B$38,0),MATCH(AK$4,Stat_Phasing!$D$32:$K$32))</f>
        <v>0</v>
      </c>
      <c r="AL16" s="38">
        <f>$K16*INDEX(Stat_Phasing!$D$24:$K$29,MATCH($B16,Stat_Phasing!$B$24:$B$29,0),MATCH(AL$4,Stat_Phasing!$D$23:$K$23))+$L16*INDEX(Stat_Phasing!$D$33:$K$38,MATCH($B16,Stat_Phasing!$B$33:$B$38,0),MATCH(AL$4,Stat_Phasing!$D$32:$K$32))</f>
        <v>0</v>
      </c>
      <c r="AM16" s="38">
        <f>$K16*INDEX(Stat_Phasing!$D$24:$K$29,MATCH($B16,Stat_Phasing!$B$24:$B$29,0),MATCH(AM$4,Stat_Phasing!$D$23:$K$23))+$L16*INDEX(Stat_Phasing!$D$33:$K$38,MATCH($B16,Stat_Phasing!$B$33:$B$38,0),MATCH(AM$4,Stat_Phasing!$D$32:$K$32))</f>
        <v>0</v>
      </c>
      <c r="AN16" s="38"/>
      <c r="AO16" s="38">
        <f>$M16*INDEX(Stat_Phasing!$D$42:$K$47,MATCH($B16,Stat_Phasing!$B$42:$B$47,0),MATCH(AO$4,Stat_Phasing!$D$41:$K$41))</f>
        <v>0</v>
      </c>
      <c r="AP16" s="38">
        <f>$M16*INDEX(Stat_Phasing!$D$42:$K$47,MATCH($B16,Stat_Phasing!$B$42:$B$47,0),MATCH(AP$4,Stat_Phasing!$D$41:$K$41))</f>
        <v>0</v>
      </c>
      <c r="AQ16" s="38">
        <f>$M16*INDEX(Stat_Phasing!$D$42:$K$47,MATCH($B16,Stat_Phasing!$B$42:$B$47,0),MATCH(AQ$4,Stat_Phasing!$D$41:$K$41))</f>
        <v>0</v>
      </c>
      <c r="AR16" s="38">
        <f>$M16*INDEX(Stat_Phasing!$D$42:$K$47,MATCH($B16,Stat_Phasing!$B$42:$B$47,0),MATCH(AR$4,Stat_Phasing!$D$41:$K$41))</f>
        <v>0</v>
      </c>
      <c r="AS16" s="38">
        <f>$M16*INDEX(Stat_Phasing!$D$42:$K$47,MATCH($B16,Stat_Phasing!$B$42:$B$47,0),MATCH(AS$4,Stat_Phasing!$D$41:$K$41))</f>
        <v>0</v>
      </c>
      <c r="AT16" s="38">
        <f>$M16*INDEX(Stat_Phasing!$D$42:$K$47,MATCH($B16,Stat_Phasing!$B$42:$B$47,0),MATCH(AT$4,Stat_Phasing!$D$41:$K$41))</f>
        <v>0</v>
      </c>
      <c r="AU16" s="38">
        <f>$M16*INDEX(Stat_Phasing!$D$42:$K$47,MATCH($B16,Stat_Phasing!$B$42:$B$47,0),MATCH(AU$4,Stat_Phasing!$D$41:$K$41))</f>
        <v>0</v>
      </c>
      <c r="AV16" s="38">
        <f>$M16*INDEX(Stat_Phasing!$D$42:$K$47,MATCH($B16,Stat_Phasing!$B$42:$B$47,0),MATCH(AV$4,Stat_Phasing!$D$41:$K$41))</f>
        <v>0</v>
      </c>
      <c r="AW16" s="6"/>
      <c r="AX16" s="6">
        <f t="shared" si="12"/>
        <v>0</v>
      </c>
      <c r="AY16" s="6">
        <f t="shared" si="13"/>
        <v>0</v>
      </c>
      <c r="AZ16" s="6">
        <f t="shared" si="14"/>
        <v>0</v>
      </c>
      <c r="BA16" s="6">
        <f t="shared" si="15"/>
        <v>0</v>
      </c>
      <c r="BB16" s="6">
        <f t="shared" si="16"/>
        <v>0</v>
      </c>
      <c r="BC16" s="6">
        <f t="shared" si="1"/>
        <v>0</v>
      </c>
      <c r="BD16" s="6">
        <f t="shared" si="2"/>
        <v>0</v>
      </c>
      <c r="BE16" s="6">
        <f t="shared" si="3"/>
        <v>0</v>
      </c>
      <c r="BG16" s="14">
        <f t="shared" si="4"/>
        <v>0</v>
      </c>
      <c r="BH16" s="38">
        <f t="shared" si="6"/>
        <v>0</v>
      </c>
      <c r="BJ16" s="38">
        <f t="shared" si="7"/>
        <v>0</v>
      </c>
      <c r="BK16" s="38">
        <f t="shared" si="8"/>
        <v>0</v>
      </c>
      <c r="BL16" s="38">
        <f t="shared" si="9"/>
        <v>0</v>
      </c>
      <c r="BM16" s="38">
        <f t="shared" si="10"/>
        <v>0</v>
      </c>
      <c r="BN16" s="38">
        <f t="shared" si="11"/>
        <v>0</v>
      </c>
      <c r="BO16" s="38"/>
      <c r="BP16" s="38"/>
      <c r="BQ16" s="38"/>
      <c r="BR16" s="38"/>
      <c r="BT16" s="16"/>
      <c r="BU16" s="16"/>
      <c r="BV16" s="16"/>
      <c r="BW16" s="16"/>
    </row>
    <row r="17" spans="2:75" x14ac:dyDescent="0.25">
      <c r="B17" s="165" t="str">
        <f>STN_4</f>
        <v>MSD</v>
      </c>
      <c r="C17" s="17">
        <f>INDEX(Schedule!$C$4:$E$9,MATCH($B17,Schedule!$B$4:$B$9,0),1)</f>
        <v>43575</v>
      </c>
      <c r="D17" s="17">
        <f>INDEX(Schedule!$C$4:$E$9,MATCH($B17,Schedule!$B$4:$B$9,0),2)</f>
        <v>43709</v>
      </c>
      <c r="E17" s="17">
        <f>INDEX(Schedule!$C$4:$E$9,MATCH($B17,Schedule!$B$4:$B$9,0),3)</f>
        <v>43891</v>
      </c>
      <c r="F17" s="676" t="s">
        <v>42</v>
      </c>
      <c r="G17" s="676" t="s">
        <v>18</v>
      </c>
      <c r="H17" s="676" t="str">
        <f t="shared" si="5"/>
        <v>SubtransmissionAugmentation</v>
      </c>
      <c r="I17" s="365">
        <f>INDEX(MSD_Det!$K$111:$O$115,MATCH($H17,MSD_Det!$F$111:$F$115,0),MATCH(I$3,MSD_Det!$K$4:$O$4,0))</f>
        <v>1632.3563663716811</v>
      </c>
      <c r="J17" s="365">
        <f>INDEX(MSD_Det!$K$111:$O$115,MATCH($H17,MSD_Det!$F$111:$F$115,0),MATCH(J$3,MSD_Det!$K$4:$O$4,0))</f>
        <v>697.14257156218753</v>
      </c>
      <c r="K17" s="365">
        <f>INDEX(MSD_Det!$K$111:$O$115,MATCH($H17,MSD_Det!$F$111:$F$115,0),MATCH(K$3,MSD_Det!$K$4:$O$4,0))</f>
        <v>769.07752434723204</v>
      </c>
      <c r="L17" s="365">
        <f>INDEX(MSD_Det!$K$111:$O$115,MATCH($H17,MSD_Det!$F$111:$F$115,0),MATCH(L$3,MSD_Det!$K$4:$O$4,0))</f>
        <v>2219.1305849796827</v>
      </c>
      <c r="M17" s="365">
        <f>INDEX(MSD_Det!$K$111:$O$115,MATCH($H17,MSD_Det!$F$111:$F$115,0),MATCH(M$3,MSD_Det!$K$4:$O$4,0))</f>
        <v>156.15862300884953</v>
      </c>
      <c r="N17" s="38">
        <f>$I17*INDEX(Stat_Phasing!$D$6:$K$11,MATCH($B17,Stat_Phasing!$B$6:$B$11,0),MATCH(N$4,Stat_Phasing!$D$5:$K$5))</f>
        <v>0</v>
      </c>
      <c r="O17" s="38">
        <f>$I17*INDEX(Stat_Phasing!$D$6:$K$11,MATCH($B17,Stat_Phasing!$B$6:$B$11,0),MATCH(O$4,Stat_Phasing!$D$5:$K$5))</f>
        <v>0</v>
      </c>
      <c r="P17" s="38">
        <f>$I17*INDEX(Stat_Phasing!$D$6:$K$11,MATCH($B17,Stat_Phasing!$B$6:$B$11,0),MATCH(P$4,Stat_Phasing!$D$5:$K$5))</f>
        <v>0</v>
      </c>
      <c r="Q17" s="38">
        <f>$I17*INDEX(Stat_Phasing!$D$6:$K$11,MATCH($B17,Stat_Phasing!$B$6:$B$11,0),MATCH(Q$4,Stat_Phasing!$D$5:$K$5))</f>
        <v>816.17818318584057</v>
      </c>
      <c r="R17" s="38">
        <f>$I17*INDEX(Stat_Phasing!$D$6:$K$11,MATCH($B17,Stat_Phasing!$B$6:$B$11,0),MATCH(R$4,Stat_Phasing!$D$5:$K$5))</f>
        <v>816.17818318584057</v>
      </c>
      <c r="S17" s="38">
        <f>$I17*INDEX(Stat_Phasing!$D$6:$K$11,MATCH($B17,Stat_Phasing!$B$6:$B$11,0),MATCH(S$4,Stat_Phasing!$D$5:$K$5))</f>
        <v>0</v>
      </c>
      <c r="T17" s="38">
        <f>$I17*INDEX(Stat_Phasing!$D$6:$K$11,MATCH($B17,Stat_Phasing!$B$6:$B$11,0),MATCH(T$4,Stat_Phasing!$D$5:$K$5))</f>
        <v>0</v>
      </c>
      <c r="U17" s="38">
        <f>$I17*INDEX(Stat_Phasing!$D$6:$K$11,MATCH($B17,Stat_Phasing!$B$6:$B$11,0),MATCH(U$4,Stat_Phasing!$D$5:$K$5))</f>
        <v>0</v>
      </c>
      <c r="V17" s="38"/>
      <c r="W17" s="38">
        <f>$J17*INDEX(Stat_Phasing!$D$15:$K$20,MATCH($B17,Stat_Phasing!$B$15:$B$20,0),MATCH(W$4,Stat_Phasing!$D$14:$K$14))</f>
        <v>0</v>
      </c>
      <c r="X17" s="38">
        <f>$J17*INDEX(Stat_Phasing!$D$15:$K$20,MATCH($B17,Stat_Phasing!$B$15:$B$20,0),MATCH(X$4,Stat_Phasing!$D$14:$K$14))</f>
        <v>0</v>
      </c>
      <c r="Y17" s="38">
        <f>$J17*INDEX(Stat_Phasing!$D$15:$K$20,MATCH($B17,Stat_Phasing!$B$15:$B$20,0),MATCH(Y$4,Stat_Phasing!$D$14:$K$14))</f>
        <v>0</v>
      </c>
      <c r="Z17" s="38">
        <f>$J17*INDEX(Stat_Phasing!$D$15:$K$20,MATCH($B17,Stat_Phasing!$B$15:$B$20,0),MATCH(Z$4,Stat_Phasing!$D$14:$K$14))</f>
        <v>431.35696615410365</v>
      </c>
      <c r="AA17" s="38">
        <f>$J17*INDEX(Stat_Phasing!$D$15:$K$20,MATCH($B17,Stat_Phasing!$B$15:$B$20,0),MATCH(AA$4,Stat_Phasing!$D$14:$K$14))</f>
        <v>265.785605408084</v>
      </c>
      <c r="AB17" s="38">
        <f>$J17*INDEX(Stat_Phasing!$D$15:$K$20,MATCH($B17,Stat_Phasing!$B$15:$B$20,0),MATCH(AB$4,Stat_Phasing!$D$14:$K$14))</f>
        <v>0</v>
      </c>
      <c r="AC17" s="38">
        <f>$J17*INDEX(Stat_Phasing!$D$15:$K$20,MATCH($B17,Stat_Phasing!$B$15:$B$20,0),MATCH(AC$4,Stat_Phasing!$D$14:$K$14))</f>
        <v>0</v>
      </c>
      <c r="AD17" s="38">
        <f>$J17*INDEX(Stat_Phasing!$D$15:$K$20,MATCH($B17,Stat_Phasing!$B$15:$B$20,0),MATCH(AD$4,Stat_Phasing!$D$14:$K$14))</f>
        <v>0</v>
      </c>
      <c r="AE17" s="38"/>
      <c r="AF17" s="38">
        <f>$K17*INDEX(Stat_Phasing!$D$24:$K$29,MATCH($B17,Stat_Phasing!$B$24:$B$29,0),MATCH(AF$4,Stat_Phasing!$D$23:$K$23))+$L17*INDEX(Stat_Phasing!$D$33:$K$38,MATCH($B17,Stat_Phasing!$B$33:$B$38,0),MATCH(AF$4,Stat_Phasing!$D$32:$K$32))</f>
        <v>0</v>
      </c>
      <c r="AG17" s="38">
        <f>$K17*INDEX(Stat_Phasing!$D$24:$K$29,MATCH($B17,Stat_Phasing!$B$24:$B$29,0),MATCH(AG$4,Stat_Phasing!$D$23:$K$23))+$L17*INDEX(Stat_Phasing!$D$33:$K$38,MATCH($B17,Stat_Phasing!$B$33:$B$38,0),MATCH(AG$4,Stat_Phasing!$D$32:$K$32))</f>
        <v>0</v>
      </c>
      <c r="AH17" s="38">
        <f>$K17*INDEX(Stat_Phasing!$D$24:$K$29,MATCH($B17,Stat_Phasing!$B$24:$B$29,0),MATCH(AH$4,Stat_Phasing!$D$23:$K$23))+$L17*INDEX(Stat_Phasing!$D$33:$K$38,MATCH($B17,Stat_Phasing!$B$33:$B$38,0),MATCH(AH$4,Stat_Phasing!$D$32:$K$32))</f>
        <v>0</v>
      </c>
      <c r="AI17" s="38">
        <f>$K17*INDEX(Stat_Phasing!$D$24:$K$29,MATCH($B17,Stat_Phasing!$B$24:$B$29,0),MATCH(AI$4,Stat_Phasing!$D$23:$K$23))+$L17*INDEX(Stat_Phasing!$D$33:$K$38,MATCH($B17,Stat_Phasing!$B$33:$B$38,0),MATCH(AI$4,Stat_Phasing!$D$32:$K$32))</f>
        <v>1878.6428168370735</v>
      </c>
      <c r="AJ17" s="38">
        <f>$K17*INDEX(Stat_Phasing!$D$24:$K$29,MATCH($B17,Stat_Phasing!$B$24:$B$29,0),MATCH(AJ$4,Stat_Phasing!$D$23:$K$23))+$L17*INDEX(Stat_Phasing!$D$33:$K$38,MATCH($B17,Stat_Phasing!$B$33:$B$38,0),MATCH(AJ$4,Stat_Phasing!$D$32:$K$32))</f>
        <v>1109.5652924898413</v>
      </c>
      <c r="AK17" s="38">
        <f>$K17*INDEX(Stat_Phasing!$D$24:$K$29,MATCH($B17,Stat_Phasing!$B$24:$B$29,0),MATCH(AK$4,Stat_Phasing!$D$23:$K$23))+$L17*INDEX(Stat_Phasing!$D$33:$K$38,MATCH($B17,Stat_Phasing!$B$33:$B$38,0),MATCH(AK$4,Stat_Phasing!$D$32:$K$32))</f>
        <v>0</v>
      </c>
      <c r="AL17" s="38">
        <f>$K17*INDEX(Stat_Phasing!$D$24:$K$29,MATCH($B17,Stat_Phasing!$B$24:$B$29,0),MATCH(AL$4,Stat_Phasing!$D$23:$K$23))+$L17*INDEX(Stat_Phasing!$D$33:$K$38,MATCH($B17,Stat_Phasing!$B$33:$B$38,0),MATCH(AL$4,Stat_Phasing!$D$32:$K$32))</f>
        <v>0</v>
      </c>
      <c r="AM17" s="38">
        <f>$K17*INDEX(Stat_Phasing!$D$24:$K$29,MATCH($B17,Stat_Phasing!$B$24:$B$29,0),MATCH(AM$4,Stat_Phasing!$D$23:$K$23))+$L17*INDEX(Stat_Phasing!$D$33:$K$38,MATCH($B17,Stat_Phasing!$B$33:$B$38,0),MATCH(AM$4,Stat_Phasing!$D$32:$K$32))</f>
        <v>0</v>
      </c>
      <c r="AN17" s="38"/>
      <c r="AO17" s="38">
        <f>$M17*INDEX(Stat_Phasing!$D$42:$K$47,MATCH($B17,Stat_Phasing!$B$42:$B$47,0),MATCH(AO$4,Stat_Phasing!$D$41:$K$41))</f>
        <v>0</v>
      </c>
      <c r="AP17" s="38">
        <f>$M17*INDEX(Stat_Phasing!$D$42:$K$47,MATCH($B17,Stat_Phasing!$B$42:$B$47,0),MATCH(AP$4,Stat_Phasing!$D$41:$K$41))</f>
        <v>0</v>
      </c>
      <c r="AQ17" s="38">
        <f>$M17*INDEX(Stat_Phasing!$D$42:$K$47,MATCH($B17,Stat_Phasing!$B$42:$B$47,0),MATCH(AQ$4,Stat_Phasing!$D$41:$K$41))</f>
        <v>0</v>
      </c>
      <c r="AR17" s="38">
        <f>$M17*INDEX(Stat_Phasing!$D$42:$K$47,MATCH($B17,Stat_Phasing!$B$42:$B$47,0),MATCH(AR$4,Stat_Phasing!$D$41:$K$41))</f>
        <v>78.079311504424766</v>
      </c>
      <c r="AS17" s="38">
        <f>$M17*INDEX(Stat_Phasing!$D$42:$K$47,MATCH($B17,Stat_Phasing!$B$42:$B$47,0),MATCH(AS$4,Stat_Phasing!$D$41:$K$41))</f>
        <v>78.079311504424766</v>
      </c>
      <c r="AT17" s="38">
        <f>$M17*INDEX(Stat_Phasing!$D$42:$K$47,MATCH($B17,Stat_Phasing!$B$42:$B$47,0),MATCH(AT$4,Stat_Phasing!$D$41:$K$41))</f>
        <v>0</v>
      </c>
      <c r="AU17" s="38">
        <f>$M17*INDEX(Stat_Phasing!$D$42:$K$47,MATCH($B17,Stat_Phasing!$B$42:$B$47,0),MATCH(AU$4,Stat_Phasing!$D$41:$K$41))</f>
        <v>0</v>
      </c>
      <c r="AV17" s="38">
        <f>$M17*INDEX(Stat_Phasing!$D$42:$K$47,MATCH($B17,Stat_Phasing!$B$42:$B$47,0),MATCH(AV$4,Stat_Phasing!$D$41:$K$41))</f>
        <v>0</v>
      </c>
      <c r="AW17" s="6"/>
      <c r="AX17" s="6">
        <f t="shared" si="12"/>
        <v>0</v>
      </c>
      <c r="AY17" s="6">
        <f t="shared" si="13"/>
        <v>0</v>
      </c>
      <c r="AZ17" s="6">
        <f t="shared" si="14"/>
        <v>0</v>
      </c>
      <c r="BA17" s="6">
        <f t="shared" si="15"/>
        <v>3204.2572776814427</v>
      </c>
      <c r="BB17" s="6">
        <f t="shared" si="16"/>
        <v>2269.6083925881908</v>
      </c>
      <c r="BC17" s="6">
        <f t="shared" si="1"/>
        <v>0</v>
      </c>
      <c r="BD17" s="6">
        <f t="shared" si="2"/>
        <v>0</v>
      </c>
      <c r="BE17" s="6">
        <f t="shared" si="3"/>
        <v>0</v>
      </c>
      <c r="BG17" s="14">
        <f t="shared" si="4"/>
        <v>5473.8656702696335</v>
      </c>
      <c r="BH17" s="38">
        <f t="shared" si="6"/>
        <v>0</v>
      </c>
      <c r="BJ17" s="38">
        <f t="shared" si="7"/>
        <v>1632.3563663716811</v>
      </c>
      <c r="BK17" s="38">
        <f t="shared" si="8"/>
        <v>697.14257156218764</v>
      </c>
      <c r="BL17" s="38">
        <f t="shared" si="9"/>
        <v>769.07752434723204</v>
      </c>
      <c r="BM17" s="38">
        <f t="shared" si="10"/>
        <v>2219.1305849796827</v>
      </c>
      <c r="BN17" s="38">
        <f t="shared" si="11"/>
        <v>156.15862300884953</v>
      </c>
      <c r="BO17" s="38"/>
      <c r="BP17" s="38"/>
      <c r="BQ17" s="38"/>
      <c r="BR17" s="38"/>
      <c r="BT17" s="16"/>
      <c r="BU17" s="16"/>
      <c r="BV17" s="16"/>
      <c r="BW17" s="16"/>
    </row>
    <row r="18" spans="2:75" x14ac:dyDescent="0.25">
      <c r="B18" s="165" t="str">
        <f>STN_4</f>
        <v>MSD</v>
      </c>
      <c r="C18" s="17">
        <f>INDEX(Schedule!$C$4:$E$9,MATCH($B18,Schedule!$B$4:$B$9,0),1)</f>
        <v>43575</v>
      </c>
      <c r="D18" s="17">
        <f>INDEX(Schedule!$C$4:$E$9,MATCH($B18,Schedule!$B$4:$B$9,0),2)</f>
        <v>43709</v>
      </c>
      <c r="E18" s="17">
        <f>INDEX(Schedule!$C$4:$E$9,MATCH($B18,Schedule!$B$4:$B$9,0),3)</f>
        <v>43891</v>
      </c>
      <c r="F18" s="676" t="s">
        <v>42</v>
      </c>
      <c r="G18" s="676" t="s">
        <v>22</v>
      </c>
      <c r="H18" s="676" t="str">
        <f t="shared" si="5"/>
        <v>SCADA/Network controlAugmentation</v>
      </c>
      <c r="I18" s="365">
        <f>INDEX(MSD_Det!$K$111:$O$115,MATCH($H18,MSD_Det!$F$111:$F$115,0),MATCH(I$3,MSD_Det!$K$4:$O$4,0))</f>
        <v>1435.1681566632437</v>
      </c>
      <c r="J18" s="365">
        <f>INDEX(MSD_Det!$K$111:$O$115,MATCH($H18,MSD_Det!$F$111:$F$115,0),MATCH(J$3,MSD_Det!$K$4:$O$4,0))</f>
        <v>329.00894585653771</v>
      </c>
      <c r="K18" s="365">
        <f>INDEX(MSD_Det!$K$111:$O$115,MATCH($H18,MSD_Det!$F$111:$F$115,0),MATCH(K$3,MSD_Det!$K$4:$O$4,0))</f>
        <v>362.95787388285623</v>
      </c>
      <c r="L18" s="365">
        <f>INDEX(MSD_Det!$K$111:$O$115,MATCH($H18,MSD_Det!$F$111:$F$115,0),MATCH(L$3,MSD_Det!$K$4:$O$4,0))</f>
        <v>453.7573965418876</v>
      </c>
      <c r="M18" s="365">
        <f>INDEX(MSD_Det!$K$111:$O$115,MATCH($H18,MSD_Det!$F$111:$F$115,0),MATCH(M$3,MSD_Det!$K$4:$O$4,0))</f>
        <v>2.4397134894636476</v>
      </c>
      <c r="N18" s="38">
        <f>$I18*INDEX(Stat_Phasing!$D$6:$K$11,MATCH($B18,Stat_Phasing!$B$6:$B$11,0),MATCH(N$4,Stat_Phasing!$D$5:$K$5))</f>
        <v>0</v>
      </c>
      <c r="O18" s="38">
        <f>$I18*INDEX(Stat_Phasing!$D$6:$K$11,MATCH($B18,Stat_Phasing!$B$6:$B$11,0),MATCH(O$4,Stat_Phasing!$D$5:$K$5))</f>
        <v>0</v>
      </c>
      <c r="P18" s="38">
        <f>$I18*INDEX(Stat_Phasing!$D$6:$K$11,MATCH($B18,Stat_Phasing!$B$6:$B$11,0),MATCH(P$4,Stat_Phasing!$D$5:$K$5))</f>
        <v>0</v>
      </c>
      <c r="Q18" s="38">
        <f>$I18*INDEX(Stat_Phasing!$D$6:$K$11,MATCH($B18,Stat_Phasing!$B$6:$B$11,0),MATCH(Q$4,Stat_Phasing!$D$5:$K$5))</f>
        <v>717.58407833162187</v>
      </c>
      <c r="R18" s="38">
        <f>$I18*INDEX(Stat_Phasing!$D$6:$K$11,MATCH($B18,Stat_Phasing!$B$6:$B$11,0),MATCH(R$4,Stat_Phasing!$D$5:$K$5))</f>
        <v>717.58407833162187</v>
      </c>
      <c r="S18" s="38">
        <f>$I18*INDEX(Stat_Phasing!$D$6:$K$11,MATCH($B18,Stat_Phasing!$B$6:$B$11,0),MATCH(S$4,Stat_Phasing!$D$5:$K$5))</f>
        <v>0</v>
      </c>
      <c r="T18" s="38">
        <f>$I18*INDEX(Stat_Phasing!$D$6:$K$11,MATCH($B18,Stat_Phasing!$B$6:$B$11,0),MATCH(T$4,Stat_Phasing!$D$5:$K$5))</f>
        <v>0</v>
      </c>
      <c r="U18" s="38">
        <f>$I18*INDEX(Stat_Phasing!$D$6:$K$11,MATCH($B18,Stat_Phasing!$B$6:$B$11,0),MATCH(U$4,Stat_Phasing!$D$5:$K$5))</f>
        <v>0</v>
      </c>
      <c r="V18" s="38"/>
      <c r="W18" s="38">
        <f>$J18*INDEX(Stat_Phasing!$D$15:$K$20,MATCH($B18,Stat_Phasing!$B$15:$B$20,0),MATCH(W$4,Stat_Phasing!$D$14:$K$14))</f>
        <v>0</v>
      </c>
      <c r="X18" s="38">
        <f>$J18*INDEX(Stat_Phasing!$D$15:$K$20,MATCH($B18,Stat_Phasing!$B$15:$B$20,0),MATCH(X$4,Stat_Phasing!$D$14:$K$14))</f>
        <v>0</v>
      </c>
      <c r="Y18" s="38">
        <f>$J18*INDEX(Stat_Phasing!$D$15:$K$20,MATCH($B18,Stat_Phasing!$B$15:$B$20,0),MATCH(Y$4,Stat_Phasing!$D$14:$K$14))</f>
        <v>0</v>
      </c>
      <c r="Z18" s="38">
        <f>$J18*INDEX(Stat_Phasing!$D$15:$K$20,MATCH($B18,Stat_Phasing!$B$15:$B$20,0),MATCH(Z$4,Stat_Phasing!$D$14:$K$14))</f>
        <v>203.57428524873276</v>
      </c>
      <c r="AA18" s="38">
        <f>$J18*INDEX(Stat_Phasing!$D$15:$K$20,MATCH($B18,Stat_Phasing!$B$15:$B$20,0),MATCH(AA$4,Stat_Phasing!$D$14:$K$14))</f>
        <v>125.434660607805</v>
      </c>
      <c r="AB18" s="38">
        <f>$J18*INDEX(Stat_Phasing!$D$15:$K$20,MATCH($B18,Stat_Phasing!$B$15:$B$20,0),MATCH(AB$4,Stat_Phasing!$D$14:$K$14))</f>
        <v>0</v>
      </c>
      <c r="AC18" s="38">
        <f>$J18*INDEX(Stat_Phasing!$D$15:$K$20,MATCH($B18,Stat_Phasing!$B$15:$B$20,0),MATCH(AC$4,Stat_Phasing!$D$14:$K$14))</f>
        <v>0</v>
      </c>
      <c r="AD18" s="38">
        <f>$J18*INDEX(Stat_Phasing!$D$15:$K$20,MATCH($B18,Stat_Phasing!$B$15:$B$20,0),MATCH(AD$4,Stat_Phasing!$D$14:$K$14))</f>
        <v>0</v>
      </c>
      <c r="AE18" s="38"/>
      <c r="AF18" s="38">
        <f>$K18*INDEX(Stat_Phasing!$D$24:$K$29,MATCH($B18,Stat_Phasing!$B$24:$B$29,0),MATCH(AF$4,Stat_Phasing!$D$23:$K$23))+$L18*INDEX(Stat_Phasing!$D$33:$K$38,MATCH($B18,Stat_Phasing!$B$33:$B$38,0),MATCH(AF$4,Stat_Phasing!$D$32:$K$32))</f>
        <v>0</v>
      </c>
      <c r="AG18" s="38">
        <f>$K18*INDEX(Stat_Phasing!$D$24:$K$29,MATCH($B18,Stat_Phasing!$B$24:$B$29,0),MATCH(AG$4,Stat_Phasing!$D$23:$K$23))+$L18*INDEX(Stat_Phasing!$D$33:$K$38,MATCH($B18,Stat_Phasing!$B$33:$B$38,0),MATCH(AG$4,Stat_Phasing!$D$32:$K$32))</f>
        <v>0</v>
      </c>
      <c r="AH18" s="38">
        <f>$K18*INDEX(Stat_Phasing!$D$24:$K$29,MATCH($B18,Stat_Phasing!$B$24:$B$29,0),MATCH(AH$4,Stat_Phasing!$D$23:$K$23))+$L18*INDEX(Stat_Phasing!$D$33:$K$38,MATCH($B18,Stat_Phasing!$B$33:$B$38,0),MATCH(AH$4,Stat_Phasing!$D$32:$K$32))</f>
        <v>0</v>
      </c>
      <c r="AI18" s="38">
        <f>$K18*INDEX(Stat_Phasing!$D$24:$K$29,MATCH($B18,Stat_Phasing!$B$24:$B$29,0),MATCH(AI$4,Stat_Phasing!$D$23:$K$23))+$L18*INDEX(Stat_Phasing!$D$33:$K$38,MATCH($B18,Stat_Phasing!$B$33:$B$38,0),MATCH(AI$4,Stat_Phasing!$D$32:$K$32))</f>
        <v>589.83657215380003</v>
      </c>
      <c r="AJ18" s="38">
        <f>$K18*INDEX(Stat_Phasing!$D$24:$K$29,MATCH($B18,Stat_Phasing!$B$24:$B$29,0),MATCH(AJ$4,Stat_Phasing!$D$23:$K$23))+$L18*INDEX(Stat_Phasing!$D$33:$K$38,MATCH($B18,Stat_Phasing!$B$33:$B$38,0),MATCH(AJ$4,Stat_Phasing!$D$32:$K$32))</f>
        <v>226.8786982709438</v>
      </c>
      <c r="AK18" s="38">
        <f>$K18*INDEX(Stat_Phasing!$D$24:$K$29,MATCH($B18,Stat_Phasing!$B$24:$B$29,0),MATCH(AK$4,Stat_Phasing!$D$23:$K$23))+$L18*INDEX(Stat_Phasing!$D$33:$K$38,MATCH($B18,Stat_Phasing!$B$33:$B$38,0),MATCH(AK$4,Stat_Phasing!$D$32:$K$32))</f>
        <v>0</v>
      </c>
      <c r="AL18" s="38">
        <f>$K18*INDEX(Stat_Phasing!$D$24:$K$29,MATCH($B18,Stat_Phasing!$B$24:$B$29,0),MATCH(AL$4,Stat_Phasing!$D$23:$K$23))+$L18*INDEX(Stat_Phasing!$D$33:$K$38,MATCH($B18,Stat_Phasing!$B$33:$B$38,0),MATCH(AL$4,Stat_Phasing!$D$32:$K$32))</f>
        <v>0</v>
      </c>
      <c r="AM18" s="38">
        <f>$K18*INDEX(Stat_Phasing!$D$24:$K$29,MATCH($B18,Stat_Phasing!$B$24:$B$29,0),MATCH(AM$4,Stat_Phasing!$D$23:$K$23))+$L18*INDEX(Stat_Phasing!$D$33:$K$38,MATCH($B18,Stat_Phasing!$B$33:$B$38,0),MATCH(AM$4,Stat_Phasing!$D$32:$K$32))</f>
        <v>0</v>
      </c>
      <c r="AN18" s="38"/>
      <c r="AO18" s="38">
        <f>$M18*INDEX(Stat_Phasing!$D$42:$K$47,MATCH($B18,Stat_Phasing!$B$42:$B$47,0),MATCH(AO$4,Stat_Phasing!$D$41:$K$41))</f>
        <v>0</v>
      </c>
      <c r="AP18" s="38">
        <f>$M18*INDEX(Stat_Phasing!$D$42:$K$47,MATCH($B18,Stat_Phasing!$B$42:$B$47,0),MATCH(AP$4,Stat_Phasing!$D$41:$K$41))</f>
        <v>0</v>
      </c>
      <c r="AQ18" s="38">
        <f>$M18*INDEX(Stat_Phasing!$D$42:$K$47,MATCH($B18,Stat_Phasing!$B$42:$B$47,0),MATCH(AQ$4,Stat_Phasing!$D$41:$K$41))</f>
        <v>0</v>
      </c>
      <c r="AR18" s="38">
        <f>$M18*INDEX(Stat_Phasing!$D$42:$K$47,MATCH($B18,Stat_Phasing!$B$42:$B$47,0),MATCH(AR$4,Stat_Phasing!$D$41:$K$41))</f>
        <v>1.2198567447318238</v>
      </c>
      <c r="AS18" s="38">
        <f>$M18*INDEX(Stat_Phasing!$D$42:$K$47,MATCH($B18,Stat_Phasing!$B$42:$B$47,0),MATCH(AS$4,Stat_Phasing!$D$41:$K$41))</f>
        <v>1.2198567447318238</v>
      </c>
      <c r="AT18" s="38">
        <f>$M18*INDEX(Stat_Phasing!$D$42:$K$47,MATCH($B18,Stat_Phasing!$B$42:$B$47,0),MATCH(AT$4,Stat_Phasing!$D$41:$K$41))</f>
        <v>0</v>
      </c>
      <c r="AU18" s="38">
        <f>$M18*INDEX(Stat_Phasing!$D$42:$K$47,MATCH($B18,Stat_Phasing!$B$42:$B$47,0),MATCH(AU$4,Stat_Phasing!$D$41:$K$41))</f>
        <v>0</v>
      </c>
      <c r="AV18" s="38">
        <f>$M18*INDEX(Stat_Phasing!$D$42:$K$47,MATCH($B18,Stat_Phasing!$B$42:$B$47,0),MATCH(AV$4,Stat_Phasing!$D$41:$K$41))</f>
        <v>0</v>
      </c>
      <c r="AW18" s="6"/>
      <c r="AX18" s="6">
        <f t="shared" si="12"/>
        <v>0</v>
      </c>
      <c r="AY18" s="6">
        <f t="shared" si="13"/>
        <v>0</v>
      </c>
      <c r="AZ18" s="6">
        <f t="shared" si="14"/>
        <v>0</v>
      </c>
      <c r="BA18" s="6">
        <f t="shared" si="15"/>
        <v>1512.2147924788865</v>
      </c>
      <c r="BB18" s="6">
        <f t="shared" si="16"/>
        <v>1071.1172939551025</v>
      </c>
      <c r="BC18" s="6">
        <f t="shared" si="1"/>
        <v>0</v>
      </c>
      <c r="BD18" s="6">
        <f t="shared" si="2"/>
        <v>0</v>
      </c>
      <c r="BE18" s="6">
        <f t="shared" si="3"/>
        <v>0</v>
      </c>
      <c r="BG18" s="14">
        <f t="shared" si="4"/>
        <v>2583.3320864339889</v>
      </c>
      <c r="BH18" s="38">
        <f t="shared" si="6"/>
        <v>0</v>
      </c>
      <c r="BJ18" s="38">
        <f t="shared" si="7"/>
        <v>1435.1681566632437</v>
      </c>
      <c r="BK18" s="38">
        <f t="shared" si="8"/>
        <v>329.00894585653776</v>
      </c>
      <c r="BL18" s="38">
        <f t="shared" si="9"/>
        <v>362.95787388285623</v>
      </c>
      <c r="BM18" s="38">
        <f t="shared" si="10"/>
        <v>453.7573965418876</v>
      </c>
      <c r="BN18" s="38">
        <f t="shared" si="11"/>
        <v>2.4397134894636476</v>
      </c>
      <c r="BO18" s="38"/>
      <c r="BP18" s="38"/>
      <c r="BQ18" s="38"/>
      <c r="BR18" s="38"/>
      <c r="BT18" s="16"/>
      <c r="BU18" s="16"/>
      <c r="BV18" s="16"/>
      <c r="BW18" s="16"/>
    </row>
    <row r="19" spans="2:75" x14ac:dyDescent="0.25">
      <c r="B19" s="165" t="str">
        <f>STN_4</f>
        <v>MSD</v>
      </c>
      <c r="C19" s="17">
        <f>INDEX(Schedule!$C$4:$E$9,MATCH($B19,Schedule!$B$4:$B$9,0),1)</f>
        <v>43575</v>
      </c>
      <c r="D19" s="17">
        <f>INDEX(Schedule!$C$4:$E$9,MATCH($B19,Schedule!$B$4:$B$9,0),2)</f>
        <v>43709</v>
      </c>
      <c r="E19" s="17">
        <f>INDEX(Schedule!$C$4:$E$9,MATCH($B19,Schedule!$B$4:$B$9,0),3)</f>
        <v>43891</v>
      </c>
      <c r="F19" s="676" t="s">
        <v>83</v>
      </c>
      <c r="G19" s="676" t="s">
        <v>211</v>
      </c>
      <c r="H19" s="676" t="str">
        <f t="shared" si="5"/>
        <v>LandNon-Network</v>
      </c>
      <c r="I19" s="365">
        <f>INDEX(MSD_Det!$K$111:$O$115,MATCH($H19,MSD_Det!$F$111:$F$115,0),MATCH(I$3,MSD_Det!$K$4:$O$4,0))</f>
        <v>0</v>
      </c>
      <c r="J19" s="365">
        <f>INDEX(MSD_Det!$K$111:$O$115,MATCH($H19,MSD_Det!$F$111:$F$115,0),MATCH(J$3,MSD_Det!$K$4:$O$4,0))</f>
        <v>0</v>
      </c>
      <c r="K19" s="365">
        <f>INDEX(MSD_Det!$K$111:$O$115,MATCH($H19,MSD_Det!$F$111:$F$115,0),MATCH(K$3,MSD_Det!$K$4:$O$4,0))</f>
        <v>0</v>
      </c>
      <c r="L19" s="365">
        <f>INDEX(MSD_Det!$K$111:$O$115,MATCH($H19,MSD_Det!$F$111:$F$115,0),MATCH(L$3,MSD_Det!$K$4:$O$4,0))</f>
        <v>0</v>
      </c>
      <c r="M19" s="365">
        <f>INDEX(MSD_Det!$K$111:$O$115,MATCH($H19,MSD_Det!$F$111:$F$115,0),MATCH(M$3,MSD_Det!$K$4:$O$4,0))</f>
        <v>0</v>
      </c>
      <c r="N19" s="38">
        <f>$I19*INDEX(Stat_Phasing!$D$6:$K$11,MATCH($B19,Stat_Phasing!$B$6:$B$11,0),MATCH(N$4,Stat_Phasing!$D$5:$K$5))</f>
        <v>0</v>
      </c>
      <c r="O19" s="38">
        <f>$I19*INDEX(Stat_Phasing!$D$6:$K$11,MATCH($B19,Stat_Phasing!$B$6:$B$11,0),MATCH(O$4,Stat_Phasing!$D$5:$K$5))</f>
        <v>0</v>
      </c>
      <c r="P19" s="38">
        <f>$I19*INDEX(Stat_Phasing!$D$6:$K$11,MATCH($B19,Stat_Phasing!$B$6:$B$11,0),MATCH(P$4,Stat_Phasing!$D$5:$K$5))</f>
        <v>0</v>
      </c>
      <c r="Q19" s="38">
        <f>$I19*INDEX(Stat_Phasing!$D$6:$K$11,MATCH($B19,Stat_Phasing!$B$6:$B$11,0),MATCH(Q$4,Stat_Phasing!$D$5:$K$5))</f>
        <v>0</v>
      </c>
      <c r="R19" s="38">
        <f>$I19*INDEX(Stat_Phasing!$D$6:$K$11,MATCH($B19,Stat_Phasing!$B$6:$B$11,0),MATCH(R$4,Stat_Phasing!$D$5:$K$5))</f>
        <v>0</v>
      </c>
      <c r="S19" s="38">
        <f>$I19*INDEX(Stat_Phasing!$D$6:$K$11,MATCH($B19,Stat_Phasing!$B$6:$B$11,0),MATCH(S$4,Stat_Phasing!$D$5:$K$5))</f>
        <v>0</v>
      </c>
      <c r="T19" s="38">
        <f>$I19*INDEX(Stat_Phasing!$D$6:$K$11,MATCH($B19,Stat_Phasing!$B$6:$B$11,0),MATCH(T$4,Stat_Phasing!$D$5:$K$5))</f>
        <v>0</v>
      </c>
      <c r="U19" s="38">
        <f>$I19*INDEX(Stat_Phasing!$D$6:$K$11,MATCH($B19,Stat_Phasing!$B$6:$B$11,0),MATCH(U$4,Stat_Phasing!$D$5:$K$5))</f>
        <v>0</v>
      </c>
      <c r="V19" s="38"/>
      <c r="W19" s="38">
        <f>$J19*INDEX(Stat_Phasing!$D$15:$K$20,MATCH($B19,Stat_Phasing!$B$15:$B$20,0),MATCH(W$4,Stat_Phasing!$D$14:$K$14))</f>
        <v>0</v>
      </c>
      <c r="X19" s="38">
        <f>$J19*INDEX(Stat_Phasing!$D$15:$K$20,MATCH($B19,Stat_Phasing!$B$15:$B$20,0),MATCH(X$4,Stat_Phasing!$D$14:$K$14))</f>
        <v>0</v>
      </c>
      <c r="Y19" s="38">
        <f>$J19*INDEX(Stat_Phasing!$D$15:$K$20,MATCH($B19,Stat_Phasing!$B$15:$B$20,0),MATCH(Y$4,Stat_Phasing!$D$14:$K$14))</f>
        <v>0</v>
      </c>
      <c r="Z19" s="38">
        <f>$J19*INDEX(Stat_Phasing!$D$15:$K$20,MATCH($B19,Stat_Phasing!$B$15:$B$20,0),MATCH(Z$4,Stat_Phasing!$D$14:$K$14))</f>
        <v>0</v>
      </c>
      <c r="AA19" s="38">
        <f>$J19*INDEX(Stat_Phasing!$D$15:$K$20,MATCH($B19,Stat_Phasing!$B$15:$B$20,0),MATCH(AA$4,Stat_Phasing!$D$14:$K$14))</f>
        <v>0</v>
      </c>
      <c r="AB19" s="38">
        <f>$J19*INDEX(Stat_Phasing!$D$15:$K$20,MATCH($B19,Stat_Phasing!$B$15:$B$20,0),MATCH(AB$4,Stat_Phasing!$D$14:$K$14))</f>
        <v>0</v>
      </c>
      <c r="AC19" s="38">
        <f>$J19*INDEX(Stat_Phasing!$D$15:$K$20,MATCH($B19,Stat_Phasing!$B$15:$B$20,0),MATCH(AC$4,Stat_Phasing!$D$14:$K$14))</f>
        <v>0</v>
      </c>
      <c r="AD19" s="38">
        <f>$J19*INDEX(Stat_Phasing!$D$15:$K$20,MATCH($B19,Stat_Phasing!$B$15:$B$20,0),MATCH(AD$4,Stat_Phasing!$D$14:$K$14))</f>
        <v>0</v>
      </c>
      <c r="AE19" s="38"/>
      <c r="AF19" s="38">
        <f>$K19*INDEX(Stat_Phasing!$D$24:$K$29,MATCH($B19,Stat_Phasing!$B$24:$B$29,0),MATCH(AF$4,Stat_Phasing!$D$23:$K$23))+$L19*INDEX(Stat_Phasing!$D$33:$K$38,MATCH($B19,Stat_Phasing!$B$33:$B$38,0),MATCH(AF$4,Stat_Phasing!$D$32:$K$32))</f>
        <v>0</v>
      </c>
      <c r="AG19" s="38">
        <f>$K19*INDEX(Stat_Phasing!$D$24:$K$29,MATCH($B19,Stat_Phasing!$B$24:$B$29,0),MATCH(AG$4,Stat_Phasing!$D$23:$K$23))+$L19*INDEX(Stat_Phasing!$D$33:$K$38,MATCH($B19,Stat_Phasing!$B$33:$B$38,0),MATCH(AG$4,Stat_Phasing!$D$32:$K$32))</f>
        <v>0</v>
      </c>
      <c r="AH19" s="38">
        <f>$K19*INDEX(Stat_Phasing!$D$24:$K$29,MATCH($B19,Stat_Phasing!$B$24:$B$29,0),MATCH(AH$4,Stat_Phasing!$D$23:$K$23))+$L19*INDEX(Stat_Phasing!$D$33:$K$38,MATCH($B19,Stat_Phasing!$B$33:$B$38,0),MATCH(AH$4,Stat_Phasing!$D$32:$K$32))</f>
        <v>0</v>
      </c>
      <c r="AI19" s="38">
        <f>$K19*INDEX(Stat_Phasing!$D$24:$K$29,MATCH($B19,Stat_Phasing!$B$24:$B$29,0),MATCH(AI$4,Stat_Phasing!$D$23:$K$23))+$L19*INDEX(Stat_Phasing!$D$33:$K$38,MATCH($B19,Stat_Phasing!$B$33:$B$38,0),MATCH(AI$4,Stat_Phasing!$D$32:$K$32))</f>
        <v>0</v>
      </c>
      <c r="AJ19" s="38">
        <f>$K19*INDEX(Stat_Phasing!$D$24:$K$29,MATCH($B19,Stat_Phasing!$B$24:$B$29,0),MATCH(AJ$4,Stat_Phasing!$D$23:$K$23))+$L19*INDEX(Stat_Phasing!$D$33:$K$38,MATCH($B19,Stat_Phasing!$B$33:$B$38,0),MATCH(AJ$4,Stat_Phasing!$D$32:$K$32))</f>
        <v>0</v>
      </c>
      <c r="AK19" s="38">
        <f>$K19*INDEX(Stat_Phasing!$D$24:$K$29,MATCH($B19,Stat_Phasing!$B$24:$B$29,0),MATCH(AK$4,Stat_Phasing!$D$23:$K$23))+$L19*INDEX(Stat_Phasing!$D$33:$K$38,MATCH($B19,Stat_Phasing!$B$33:$B$38,0),MATCH(AK$4,Stat_Phasing!$D$32:$K$32))</f>
        <v>0</v>
      </c>
      <c r="AL19" s="38">
        <f>$K19*INDEX(Stat_Phasing!$D$24:$K$29,MATCH($B19,Stat_Phasing!$B$24:$B$29,0),MATCH(AL$4,Stat_Phasing!$D$23:$K$23))+$L19*INDEX(Stat_Phasing!$D$33:$K$38,MATCH($B19,Stat_Phasing!$B$33:$B$38,0),MATCH(AL$4,Stat_Phasing!$D$32:$K$32))</f>
        <v>0</v>
      </c>
      <c r="AM19" s="38">
        <f>$K19*INDEX(Stat_Phasing!$D$24:$K$29,MATCH($B19,Stat_Phasing!$B$24:$B$29,0),MATCH(AM$4,Stat_Phasing!$D$23:$K$23))+$L19*INDEX(Stat_Phasing!$D$33:$K$38,MATCH($B19,Stat_Phasing!$B$33:$B$38,0),MATCH(AM$4,Stat_Phasing!$D$32:$K$32))</f>
        <v>0</v>
      </c>
      <c r="AN19" s="38"/>
      <c r="AO19" s="38">
        <f>$M19*INDEX(Stat_Phasing!$D$42:$K$47,MATCH($B19,Stat_Phasing!$B$42:$B$47,0),MATCH(AO$4,Stat_Phasing!$D$41:$K$41))</f>
        <v>0</v>
      </c>
      <c r="AP19" s="38">
        <f>$M19*INDEX(Stat_Phasing!$D$42:$K$47,MATCH($B19,Stat_Phasing!$B$42:$B$47,0),MATCH(AP$4,Stat_Phasing!$D$41:$K$41))</f>
        <v>0</v>
      </c>
      <c r="AQ19" s="38">
        <f>$M19*INDEX(Stat_Phasing!$D$42:$K$47,MATCH($B19,Stat_Phasing!$B$42:$B$47,0),MATCH(AQ$4,Stat_Phasing!$D$41:$K$41))</f>
        <v>0</v>
      </c>
      <c r="AR19" s="38">
        <f>$M19*INDEX(Stat_Phasing!$D$42:$K$47,MATCH($B19,Stat_Phasing!$B$42:$B$47,0),MATCH(AR$4,Stat_Phasing!$D$41:$K$41))</f>
        <v>0</v>
      </c>
      <c r="AS19" s="38">
        <f>$M19*INDEX(Stat_Phasing!$D$42:$K$47,MATCH($B19,Stat_Phasing!$B$42:$B$47,0),MATCH(AS$4,Stat_Phasing!$D$41:$K$41))</f>
        <v>0</v>
      </c>
      <c r="AT19" s="38">
        <f>$M19*INDEX(Stat_Phasing!$D$42:$K$47,MATCH($B19,Stat_Phasing!$B$42:$B$47,0),MATCH(AT$4,Stat_Phasing!$D$41:$K$41))</f>
        <v>0</v>
      </c>
      <c r="AU19" s="38">
        <f>$M19*INDEX(Stat_Phasing!$D$42:$K$47,MATCH($B19,Stat_Phasing!$B$42:$B$47,0),MATCH(AU$4,Stat_Phasing!$D$41:$K$41))</f>
        <v>0</v>
      </c>
      <c r="AV19" s="38">
        <f>$M19*INDEX(Stat_Phasing!$D$42:$K$47,MATCH($B19,Stat_Phasing!$B$42:$B$47,0),MATCH(AV$4,Stat_Phasing!$D$41:$K$41))</f>
        <v>0</v>
      </c>
      <c r="AW19" s="6"/>
      <c r="AX19" s="6">
        <f t="shared" si="12"/>
        <v>0</v>
      </c>
      <c r="AY19" s="6">
        <f t="shared" si="13"/>
        <v>0</v>
      </c>
      <c r="AZ19" s="6">
        <f t="shared" si="14"/>
        <v>0</v>
      </c>
      <c r="BA19" s="6">
        <f t="shared" si="15"/>
        <v>0</v>
      </c>
      <c r="BB19" s="6">
        <f t="shared" si="16"/>
        <v>0</v>
      </c>
      <c r="BC19" s="6">
        <f t="shared" si="1"/>
        <v>0</v>
      </c>
      <c r="BD19" s="6">
        <f t="shared" si="2"/>
        <v>0</v>
      </c>
      <c r="BE19" s="6">
        <f t="shared" si="3"/>
        <v>0</v>
      </c>
      <c r="BG19" s="14">
        <f t="shared" si="4"/>
        <v>0</v>
      </c>
      <c r="BH19" s="38">
        <f t="shared" si="6"/>
        <v>0</v>
      </c>
      <c r="BJ19" s="38">
        <f t="shared" si="7"/>
        <v>0</v>
      </c>
      <c r="BK19" s="38">
        <f t="shared" si="8"/>
        <v>0</v>
      </c>
      <c r="BL19" s="38">
        <f t="shared" si="9"/>
        <v>0</v>
      </c>
      <c r="BM19" s="38">
        <f t="shared" si="10"/>
        <v>0</v>
      </c>
      <c r="BN19" s="38">
        <f t="shared" si="11"/>
        <v>0</v>
      </c>
      <c r="BO19" s="38"/>
      <c r="BP19" s="38"/>
      <c r="BQ19" s="38"/>
      <c r="BR19" s="38"/>
      <c r="BT19" s="16"/>
      <c r="BU19" s="16"/>
      <c r="BV19" s="16"/>
      <c r="BW19" s="16"/>
    </row>
    <row r="20" spans="2:75" x14ac:dyDescent="0.25">
      <c r="B20" s="165" t="str">
        <f>STN_5</f>
        <v>SLE</v>
      </c>
      <c r="C20" s="17">
        <f>INDEX(Schedule!$C$4:$E$9,MATCH($B20,Schedule!$B$4:$B$9,0),1)</f>
        <v>43692</v>
      </c>
      <c r="D20" s="17">
        <f>INDEX(Schedule!$C$4:$E$9,MATCH($B20,Schedule!$B$4:$B$9,0),2)</f>
        <v>44166</v>
      </c>
      <c r="E20" s="17">
        <f>INDEX(Schedule!$C$4:$E$9,MATCH($B20,Schedule!$B$4:$B$9,0),3)</f>
        <v>44652</v>
      </c>
      <c r="F20" s="676" t="s">
        <v>42</v>
      </c>
      <c r="G20" s="676" t="s">
        <v>18</v>
      </c>
      <c r="H20" s="676" t="str">
        <f t="shared" si="5"/>
        <v>SubtransmissionAugmentation</v>
      </c>
      <c r="I20" s="365">
        <f>INDEX(SLE_Det!$K$114:$O$118,MATCH($H20,SLE_Det!$F$114:$F$118,0),MATCH(I$3,SLE_Det!$K$4:$O$4,0))</f>
        <v>2375.4130814159284</v>
      </c>
      <c r="J20" s="365">
        <f>INDEX(SLE_Det!$K$114:$O$118,MATCH($H20,SLE_Det!$F$114:$F$118,0),MATCH(J$3,SLE_Det!$K$4:$O$4,0))</f>
        <v>657.81129209494009</v>
      </c>
      <c r="K20" s="365">
        <f>INDEX(SLE_Det!$K$114:$O$118,MATCH($H20,SLE_Det!$F$114:$F$118,0),MATCH(K$3,SLE_Det!$K$4:$O$4,0))</f>
        <v>686.3410852421066</v>
      </c>
      <c r="L20" s="365">
        <f>INDEX(SLE_Det!$K$114:$O$118,MATCH($H20,SLE_Det!$F$114:$F$118,0),MATCH(L$3,SLE_Det!$K$4:$O$4,0))</f>
        <v>2178.2673488589744</v>
      </c>
      <c r="M20" s="365">
        <f>INDEX(SLE_Det!$K$114:$O$118,MATCH($H20,SLE_Det!$F$114:$F$118,0),MATCH(M$3,SLE_Det!$K$4:$O$4,0))</f>
        <v>126.18609911504423</v>
      </c>
      <c r="N20" s="38">
        <f>$I20*INDEX(Stat_Phasing!$D$6:$K$11,MATCH($B20,Stat_Phasing!$B$6:$B$11,0),MATCH(N$4,Stat_Phasing!$D$5:$K$5))</f>
        <v>0</v>
      </c>
      <c r="O20" s="38">
        <f>$I20*INDEX(Stat_Phasing!$D$6:$K$11,MATCH($B20,Stat_Phasing!$B$6:$B$11,0),MATCH(O$4,Stat_Phasing!$D$5:$K$5))</f>
        <v>0</v>
      </c>
      <c r="P20" s="38">
        <f>$I20*INDEX(Stat_Phasing!$D$6:$K$11,MATCH($B20,Stat_Phasing!$B$6:$B$11,0),MATCH(P$4,Stat_Phasing!$D$5:$K$5))</f>
        <v>0</v>
      </c>
      <c r="Q20" s="38">
        <f>$I20*INDEX(Stat_Phasing!$D$6:$K$11,MATCH($B20,Stat_Phasing!$B$6:$B$11,0),MATCH(Q$4,Stat_Phasing!$D$5:$K$5))</f>
        <v>0</v>
      </c>
      <c r="R20" s="38">
        <f>$I20*INDEX(Stat_Phasing!$D$6:$K$11,MATCH($B20,Stat_Phasing!$B$6:$B$11,0),MATCH(R$4,Stat_Phasing!$D$5:$K$5))</f>
        <v>653.23859738938029</v>
      </c>
      <c r="S20" s="38">
        <f>$I20*INDEX(Stat_Phasing!$D$6:$K$11,MATCH($B20,Stat_Phasing!$B$6:$B$11,0),MATCH(S$4,Stat_Phasing!$D$5:$K$5))</f>
        <v>1365.8625218141588</v>
      </c>
      <c r="T20" s="38">
        <f>$I20*INDEX(Stat_Phasing!$D$6:$K$11,MATCH($B20,Stat_Phasing!$B$6:$B$11,0),MATCH(T$4,Stat_Phasing!$D$5:$K$5))</f>
        <v>356.31196221238923</v>
      </c>
      <c r="U20" s="38">
        <f>$I20*INDEX(Stat_Phasing!$D$6:$K$11,MATCH($B20,Stat_Phasing!$B$6:$B$11,0),MATCH(U$4,Stat_Phasing!$D$5:$K$5))</f>
        <v>0</v>
      </c>
      <c r="V20" s="38"/>
      <c r="W20" s="38">
        <f>$J20*INDEX(Stat_Phasing!$D$15:$K$20,MATCH($B20,Stat_Phasing!$B$15:$B$20,0),MATCH(W$4,Stat_Phasing!$D$14:$K$14))</f>
        <v>0</v>
      </c>
      <c r="X20" s="38">
        <f>$J20*INDEX(Stat_Phasing!$D$15:$K$20,MATCH($B20,Stat_Phasing!$B$15:$B$20,0),MATCH(X$4,Stat_Phasing!$D$14:$K$14))</f>
        <v>0</v>
      </c>
      <c r="Y20" s="38">
        <f>$J20*INDEX(Stat_Phasing!$D$15:$K$20,MATCH($B20,Stat_Phasing!$B$15:$B$20,0),MATCH(Y$4,Stat_Phasing!$D$14:$K$14))</f>
        <v>0</v>
      </c>
      <c r="Z20" s="38">
        <f>$J20*INDEX(Stat_Phasing!$D$15:$K$20,MATCH($B20,Stat_Phasing!$B$15:$B$20,0),MATCH(Z$4,Stat_Phasing!$D$14:$K$14))</f>
        <v>82.226411511867511</v>
      </c>
      <c r="AA20" s="38">
        <f>$J20*INDEX(Stat_Phasing!$D$15:$K$20,MATCH($B20,Stat_Phasing!$B$15:$B$20,0),MATCH(AA$4,Stat_Phasing!$D$14:$K$14))</f>
        <v>230.23395223322902</v>
      </c>
      <c r="AB20" s="38">
        <f>$J20*INDEX(Stat_Phasing!$D$15:$K$20,MATCH($B20,Stat_Phasing!$B$15:$B$20,0),MATCH(AB$4,Stat_Phasing!$D$14:$K$14))</f>
        <v>279.56979914034952</v>
      </c>
      <c r="AC20" s="38">
        <f>$J20*INDEX(Stat_Phasing!$D$15:$K$20,MATCH($B20,Stat_Phasing!$B$15:$B$20,0),MATCH(AC$4,Stat_Phasing!$D$14:$K$14))</f>
        <v>65.781129209494011</v>
      </c>
      <c r="AD20" s="38">
        <f>$J20*INDEX(Stat_Phasing!$D$15:$K$20,MATCH($B20,Stat_Phasing!$B$15:$B$20,0),MATCH(AD$4,Stat_Phasing!$D$14:$K$14))</f>
        <v>0</v>
      </c>
      <c r="AE20" s="38"/>
      <c r="AF20" s="38">
        <f>$K20*INDEX(Stat_Phasing!$D$24:$K$29,MATCH($B20,Stat_Phasing!$B$24:$B$29,0),MATCH(AF$4,Stat_Phasing!$D$23:$K$23))+$L20*INDEX(Stat_Phasing!$D$33:$K$38,MATCH($B20,Stat_Phasing!$B$33:$B$38,0),MATCH(AF$4,Stat_Phasing!$D$32:$K$32))</f>
        <v>0</v>
      </c>
      <c r="AG20" s="38">
        <f>$K20*INDEX(Stat_Phasing!$D$24:$K$29,MATCH($B20,Stat_Phasing!$B$24:$B$29,0),MATCH(AG$4,Stat_Phasing!$D$23:$K$23))+$L20*INDEX(Stat_Phasing!$D$33:$K$38,MATCH($B20,Stat_Phasing!$B$33:$B$38,0),MATCH(AG$4,Stat_Phasing!$D$32:$K$32))</f>
        <v>0</v>
      </c>
      <c r="AH20" s="38">
        <f>$K20*INDEX(Stat_Phasing!$D$24:$K$29,MATCH($B20,Stat_Phasing!$B$24:$B$29,0),MATCH(AH$4,Stat_Phasing!$D$23:$K$23))+$L20*INDEX(Stat_Phasing!$D$33:$K$38,MATCH($B20,Stat_Phasing!$B$33:$B$38,0),MATCH(AH$4,Stat_Phasing!$D$32:$K$32))</f>
        <v>0</v>
      </c>
      <c r="AI20" s="38">
        <f>$K20*INDEX(Stat_Phasing!$D$24:$K$29,MATCH($B20,Stat_Phasing!$B$24:$B$29,0),MATCH(AI$4,Stat_Phasing!$D$23:$K$23))+$L20*INDEX(Stat_Phasing!$D$33:$K$38,MATCH($B20,Stat_Phasing!$B$33:$B$38,0),MATCH(AI$4,Stat_Phasing!$D$32:$K$32))</f>
        <v>137.26821704842132</v>
      </c>
      <c r="AJ20" s="38">
        <f>$K20*INDEX(Stat_Phasing!$D$24:$K$29,MATCH($B20,Stat_Phasing!$B$24:$B$29,0),MATCH(AJ$4,Stat_Phasing!$D$23:$K$23))+$L20*INDEX(Stat_Phasing!$D$33:$K$38,MATCH($B20,Stat_Phasing!$B$33:$B$38,0),MATCH(AJ$4,Stat_Phasing!$D$32:$K$32))</f>
        <v>1474.8364914587492</v>
      </c>
      <c r="AK20" s="38">
        <f>$K20*INDEX(Stat_Phasing!$D$24:$K$29,MATCH($B20,Stat_Phasing!$B$24:$B$29,0),MATCH(AK$4,Stat_Phasing!$D$23:$K$23))+$L20*INDEX(Stat_Phasing!$D$33:$K$38,MATCH($B20,Stat_Phasing!$B$33:$B$38,0),MATCH(AK$4,Stat_Phasing!$D$32:$K$32))</f>
        <v>1011.3384119702381</v>
      </c>
      <c r="AL20" s="38">
        <f>$K20*INDEX(Stat_Phasing!$D$24:$K$29,MATCH($B20,Stat_Phasing!$B$24:$B$29,0),MATCH(AL$4,Stat_Phasing!$D$23:$K$23))+$L20*INDEX(Stat_Phasing!$D$33:$K$38,MATCH($B20,Stat_Phasing!$B$33:$B$38,0),MATCH(AL$4,Stat_Phasing!$D$32:$K$32))</f>
        <v>241.16531362367215</v>
      </c>
      <c r="AM20" s="38">
        <f>$K20*INDEX(Stat_Phasing!$D$24:$K$29,MATCH($B20,Stat_Phasing!$B$24:$B$29,0),MATCH(AM$4,Stat_Phasing!$D$23:$K$23))+$L20*INDEX(Stat_Phasing!$D$33:$K$38,MATCH($B20,Stat_Phasing!$B$33:$B$38,0),MATCH(AM$4,Stat_Phasing!$D$32:$K$32))</f>
        <v>0</v>
      </c>
      <c r="AN20" s="38"/>
      <c r="AO20" s="38">
        <f>$M20*INDEX(Stat_Phasing!$D$42:$K$47,MATCH($B20,Stat_Phasing!$B$42:$B$47,0),MATCH(AO$4,Stat_Phasing!$D$41:$K$41))</f>
        <v>0</v>
      </c>
      <c r="AP20" s="38">
        <f>$M20*INDEX(Stat_Phasing!$D$42:$K$47,MATCH($B20,Stat_Phasing!$B$42:$B$47,0),MATCH(AP$4,Stat_Phasing!$D$41:$K$41))</f>
        <v>0</v>
      </c>
      <c r="AQ20" s="38">
        <f>$M20*INDEX(Stat_Phasing!$D$42:$K$47,MATCH($B20,Stat_Phasing!$B$42:$B$47,0),MATCH(AQ$4,Stat_Phasing!$D$41:$K$41))</f>
        <v>0</v>
      </c>
      <c r="AR20" s="38">
        <f>$M20*INDEX(Stat_Phasing!$D$42:$K$47,MATCH($B20,Stat_Phasing!$B$42:$B$47,0),MATCH(AR$4,Stat_Phasing!$D$41:$K$41))</f>
        <v>0</v>
      </c>
      <c r="AS20" s="38">
        <f>$M20*INDEX(Stat_Phasing!$D$42:$K$47,MATCH($B20,Stat_Phasing!$B$42:$B$47,0),MATCH(AS$4,Stat_Phasing!$D$41:$K$41))</f>
        <v>54.079756763590382</v>
      </c>
      <c r="AT20" s="38">
        <f>$M20*INDEX(Stat_Phasing!$D$42:$K$47,MATCH($B20,Stat_Phasing!$B$42:$B$47,0),MATCH(AT$4,Stat_Phasing!$D$41:$K$41))</f>
        <v>54.079756763590382</v>
      </c>
      <c r="AU20" s="38">
        <f>$M20*INDEX(Stat_Phasing!$D$42:$K$47,MATCH($B20,Stat_Phasing!$B$42:$B$47,0),MATCH(AU$4,Stat_Phasing!$D$41:$K$41))</f>
        <v>18.026585587863458</v>
      </c>
      <c r="AV20" s="38">
        <f>$M20*INDEX(Stat_Phasing!$D$42:$K$47,MATCH($B20,Stat_Phasing!$B$42:$B$47,0),MATCH(AV$4,Stat_Phasing!$D$41:$K$41))</f>
        <v>0</v>
      </c>
      <c r="AW20" s="6"/>
      <c r="AX20" s="6">
        <f t="shared" si="12"/>
        <v>0</v>
      </c>
      <c r="AY20" s="6">
        <f t="shared" si="13"/>
        <v>0</v>
      </c>
      <c r="AZ20" s="6">
        <f t="shared" si="14"/>
        <v>0</v>
      </c>
      <c r="BA20" s="6">
        <f t="shared" si="15"/>
        <v>219.49462856028885</v>
      </c>
      <c r="BB20" s="6">
        <f t="shared" si="16"/>
        <v>2412.3887978449488</v>
      </c>
      <c r="BC20" s="6">
        <f t="shared" si="1"/>
        <v>2710.8504896883369</v>
      </c>
      <c r="BD20" s="6">
        <f t="shared" si="2"/>
        <v>681.28499063341883</v>
      </c>
      <c r="BE20" s="6">
        <f t="shared" si="3"/>
        <v>0</v>
      </c>
      <c r="BG20" s="14">
        <f t="shared" si="4"/>
        <v>6024.018906726993</v>
      </c>
      <c r="BH20" s="38">
        <f t="shared" si="6"/>
        <v>0</v>
      </c>
      <c r="BJ20" s="38">
        <f t="shared" si="7"/>
        <v>653.23859738938029</v>
      </c>
      <c r="BK20" s="38">
        <f t="shared" si="8"/>
        <v>312.46036374509652</v>
      </c>
      <c r="BL20" s="38">
        <f t="shared" si="9"/>
        <v>686.3410852421066</v>
      </c>
      <c r="BM20" s="38">
        <f t="shared" si="10"/>
        <v>925.76362326506387</v>
      </c>
      <c r="BN20" s="38">
        <f t="shared" si="11"/>
        <v>54.079756763590382</v>
      </c>
      <c r="BO20" s="38"/>
      <c r="BP20" s="38"/>
      <c r="BQ20" s="38"/>
      <c r="BR20" s="38"/>
      <c r="BT20" s="16"/>
      <c r="BU20" s="16"/>
      <c r="BV20" s="16"/>
      <c r="BW20" s="16"/>
    </row>
    <row r="21" spans="2:75" x14ac:dyDescent="0.25">
      <c r="B21" s="165" t="str">
        <f>STN_5</f>
        <v>SLE</v>
      </c>
      <c r="C21" s="17">
        <f>INDEX(Schedule!$C$4:$E$9,MATCH($B21,Schedule!$B$4:$B$9,0),1)</f>
        <v>43692</v>
      </c>
      <c r="D21" s="17">
        <f>INDEX(Schedule!$C$4:$E$9,MATCH($B21,Schedule!$B$4:$B$9,0),2)</f>
        <v>44166</v>
      </c>
      <c r="E21" s="17">
        <f>INDEX(Schedule!$C$4:$E$9,MATCH($B21,Schedule!$B$4:$B$9,0),3)</f>
        <v>44652</v>
      </c>
      <c r="F21" s="676" t="s">
        <v>44</v>
      </c>
      <c r="G21" s="676" t="s">
        <v>18</v>
      </c>
      <c r="H21" s="676" t="str">
        <f t="shared" si="5"/>
        <v>SubtransmissionReplacement</v>
      </c>
      <c r="I21" s="365">
        <f>INDEX(SLE_Det!$K$114:$O$118,MATCH($H21,SLE_Det!$F$114:$F$118,0),MATCH(I$3,SLE_Det!$K$4:$O$4,0))</f>
        <v>0</v>
      </c>
      <c r="J21" s="365">
        <f>INDEX(SLE_Det!$K$114:$O$118,MATCH($H21,SLE_Det!$F$114:$F$118,0),MATCH(J$3,SLE_Det!$K$4:$O$4,0))</f>
        <v>0</v>
      </c>
      <c r="K21" s="365">
        <f>INDEX(SLE_Det!$K$114:$O$118,MATCH($H21,SLE_Det!$F$114:$F$118,0),MATCH(K$3,SLE_Det!$K$4:$O$4,0))</f>
        <v>0</v>
      </c>
      <c r="L21" s="365">
        <f>INDEX(SLE_Det!$K$114:$O$118,MATCH($H21,SLE_Det!$F$114:$F$118,0),MATCH(L$3,SLE_Det!$K$4:$O$4,0))</f>
        <v>0</v>
      </c>
      <c r="M21" s="365">
        <f>INDEX(SLE_Det!$K$114:$O$118,MATCH($H21,SLE_Det!$F$114:$F$118,0),MATCH(M$3,SLE_Det!$K$4:$O$4,0))</f>
        <v>0</v>
      </c>
      <c r="N21" s="38">
        <f>$I21*INDEX(Stat_Phasing!$D$6:$K$11,MATCH($B21,Stat_Phasing!$B$6:$B$11,0),MATCH(N$4,Stat_Phasing!$D$5:$K$5))</f>
        <v>0</v>
      </c>
      <c r="O21" s="38">
        <f>$I21*INDEX(Stat_Phasing!$D$6:$K$11,MATCH($B21,Stat_Phasing!$B$6:$B$11,0),MATCH(O$4,Stat_Phasing!$D$5:$K$5))</f>
        <v>0</v>
      </c>
      <c r="P21" s="38">
        <f>$I21*INDEX(Stat_Phasing!$D$6:$K$11,MATCH($B21,Stat_Phasing!$B$6:$B$11,0),MATCH(P$4,Stat_Phasing!$D$5:$K$5))</f>
        <v>0</v>
      </c>
      <c r="Q21" s="38">
        <f>$I21*INDEX(Stat_Phasing!$D$6:$K$11,MATCH($B21,Stat_Phasing!$B$6:$B$11,0),MATCH(Q$4,Stat_Phasing!$D$5:$K$5))</f>
        <v>0</v>
      </c>
      <c r="R21" s="38">
        <f>$I21*INDEX(Stat_Phasing!$D$6:$K$11,MATCH($B21,Stat_Phasing!$B$6:$B$11,0),MATCH(R$4,Stat_Phasing!$D$5:$K$5))</f>
        <v>0</v>
      </c>
      <c r="S21" s="38">
        <f>$I21*INDEX(Stat_Phasing!$D$6:$K$11,MATCH($B21,Stat_Phasing!$B$6:$B$11,0),MATCH(S$4,Stat_Phasing!$D$5:$K$5))</f>
        <v>0</v>
      </c>
      <c r="T21" s="38">
        <f>$I21*INDEX(Stat_Phasing!$D$6:$K$11,MATCH($B21,Stat_Phasing!$B$6:$B$11,0),MATCH(T$4,Stat_Phasing!$D$5:$K$5))</f>
        <v>0</v>
      </c>
      <c r="U21" s="38">
        <f>$I21*INDEX(Stat_Phasing!$D$6:$K$11,MATCH($B21,Stat_Phasing!$B$6:$B$11,0),MATCH(U$4,Stat_Phasing!$D$5:$K$5))</f>
        <v>0</v>
      </c>
      <c r="V21" s="38"/>
      <c r="W21" s="38">
        <f>$J21*INDEX(Stat_Phasing!$D$15:$K$20,MATCH($B21,Stat_Phasing!$B$15:$B$20,0),MATCH(W$4,Stat_Phasing!$D$14:$K$14))</f>
        <v>0</v>
      </c>
      <c r="X21" s="38">
        <f>$J21*INDEX(Stat_Phasing!$D$15:$K$20,MATCH($B21,Stat_Phasing!$B$15:$B$20,0),MATCH(X$4,Stat_Phasing!$D$14:$K$14))</f>
        <v>0</v>
      </c>
      <c r="Y21" s="38">
        <f>$J21*INDEX(Stat_Phasing!$D$15:$K$20,MATCH($B21,Stat_Phasing!$B$15:$B$20,0),MATCH(Y$4,Stat_Phasing!$D$14:$K$14))</f>
        <v>0</v>
      </c>
      <c r="Z21" s="38">
        <f>$J21*INDEX(Stat_Phasing!$D$15:$K$20,MATCH($B21,Stat_Phasing!$B$15:$B$20,0),MATCH(Z$4,Stat_Phasing!$D$14:$K$14))</f>
        <v>0</v>
      </c>
      <c r="AA21" s="38">
        <f>$J21*INDEX(Stat_Phasing!$D$15:$K$20,MATCH($B21,Stat_Phasing!$B$15:$B$20,0),MATCH(AA$4,Stat_Phasing!$D$14:$K$14))</f>
        <v>0</v>
      </c>
      <c r="AB21" s="38">
        <f>$J21*INDEX(Stat_Phasing!$D$15:$K$20,MATCH($B21,Stat_Phasing!$B$15:$B$20,0),MATCH(AB$4,Stat_Phasing!$D$14:$K$14))</f>
        <v>0</v>
      </c>
      <c r="AC21" s="38">
        <f>$J21*INDEX(Stat_Phasing!$D$15:$K$20,MATCH($B21,Stat_Phasing!$B$15:$B$20,0),MATCH(AC$4,Stat_Phasing!$D$14:$K$14))</f>
        <v>0</v>
      </c>
      <c r="AD21" s="38">
        <f>$J21*INDEX(Stat_Phasing!$D$15:$K$20,MATCH($B21,Stat_Phasing!$B$15:$B$20,0),MATCH(AD$4,Stat_Phasing!$D$14:$K$14))</f>
        <v>0</v>
      </c>
      <c r="AE21" s="38"/>
      <c r="AF21" s="38">
        <f>$K21*INDEX(Stat_Phasing!$D$24:$K$29,MATCH($B21,Stat_Phasing!$B$24:$B$29,0),MATCH(AF$4,Stat_Phasing!$D$23:$K$23))+$L21*INDEX(Stat_Phasing!$D$33:$K$38,MATCH($B21,Stat_Phasing!$B$33:$B$38,0),MATCH(AF$4,Stat_Phasing!$D$32:$K$32))</f>
        <v>0</v>
      </c>
      <c r="AG21" s="38">
        <f>$K21*INDEX(Stat_Phasing!$D$24:$K$29,MATCH($B21,Stat_Phasing!$B$24:$B$29,0),MATCH(AG$4,Stat_Phasing!$D$23:$K$23))+$L21*INDEX(Stat_Phasing!$D$33:$K$38,MATCH($B21,Stat_Phasing!$B$33:$B$38,0),MATCH(AG$4,Stat_Phasing!$D$32:$K$32))</f>
        <v>0</v>
      </c>
      <c r="AH21" s="38">
        <f>$K21*INDEX(Stat_Phasing!$D$24:$K$29,MATCH($B21,Stat_Phasing!$B$24:$B$29,0),MATCH(AH$4,Stat_Phasing!$D$23:$K$23))+$L21*INDEX(Stat_Phasing!$D$33:$K$38,MATCH($B21,Stat_Phasing!$B$33:$B$38,0),MATCH(AH$4,Stat_Phasing!$D$32:$K$32))</f>
        <v>0</v>
      </c>
      <c r="AI21" s="38">
        <f>$K21*INDEX(Stat_Phasing!$D$24:$K$29,MATCH($B21,Stat_Phasing!$B$24:$B$29,0),MATCH(AI$4,Stat_Phasing!$D$23:$K$23))+$L21*INDEX(Stat_Phasing!$D$33:$K$38,MATCH($B21,Stat_Phasing!$B$33:$B$38,0),MATCH(AI$4,Stat_Phasing!$D$32:$K$32))</f>
        <v>0</v>
      </c>
      <c r="AJ21" s="38">
        <f>$K21*INDEX(Stat_Phasing!$D$24:$K$29,MATCH($B21,Stat_Phasing!$B$24:$B$29,0),MATCH(AJ$4,Stat_Phasing!$D$23:$K$23))+$L21*INDEX(Stat_Phasing!$D$33:$K$38,MATCH($B21,Stat_Phasing!$B$33:$B$38,0),MATCH(AJ$4,Stat_Phasing!$D$32:$K$32))</f>
        <v>0</v>
      </c>
      <c r="AK21" s="38">
        <f>$K21*INDEX(Stat_Phasing!$D$24:$K$29,MATCH($B21,Stat_Phasing!$B$24:$B$29,0),MATCH(AK$4,Stat_Phasing!$D$23:$K$23))+$L21*INDEX(Stat_Phasing!$D$33:$K$38,MATCH($B21,Stat_Phasing!$B$33:$B$38,0),MATCH(AK$4,Stat_Phasing!$D$32:$K$32))</f>
        <v>0</v>
      </c>
      <c r="AL21" s="38">
        <f>$K21*INDEX(Stat_Phasing!$D$24:$K$29,MATCH($B21,Stat_Phasing!$B$24:$B$29,0),MATCH(AL$4,Stat_Phasing!$D$23:$K$23))+$L21*INDEX(Stat_Phasing!$D$33:$K$38,MATCH($B21,Stat_Phasing!$B$33:$B$38,0),MATCH(AL$4,Stat_Phasing!$D$32:$K$32))</f>
        <v>0</v>
      </c>
      <c r="AM21" s="38">
        <f>$K21*INDEX(Stat_Phasing!$D$24:$K$29,MATCH($B21,Stat_Phasing!$B$24:$B$29,0),MATCH(AM$4,Stat_Phasing!$D$23:$K$23))+$L21*INDEX(Stat_Phasing!$D$33:$K$38,MATCH($B21,Stat_Phasing!$B$33:$B$38,0),MATCH(AM$4,Stat_Phasing!$D$32:$K$32))</f>
        <v>0</v>
      </c>
      <c r="AN21" s="38"/>
      <c r="AO21" s="38">
        <f>$M21*INDEX(Stat_Phasing!$D$42:$K$47,MATCH($B21,Stat_Phasing!$B$42:$B$47,0),MATCH(AO$4,Stat_Phasing!$D$41:$K$41))</f>
        <v>0</v>
      </c>
      <c r="AP21" s="38">
        <f>$M21*INDEX(Stat_Phasing!$D$42:$K$47,MATCH($B21,Stat_Phasing!$B$42:$B$47,0),MATCH(AP$4,Stat_Phasing!$D$41:$K$41))</f>
        <v>0</v>
      </c>
      <c r="AQ21" s="38">
        <f>$M21*INDEX(Stat_Phasing!$D$42:$K$47,MATCH($B21,Stat_Phasing!$B$42:$B$47,0),MATCH(AQ$4,Stat_Phasing!$D$41:$K$41))</f>
        <v>0</v>
      </c>
      <c r="AR21" s="38">
        <f>$M21*INDEX(Stat_Phasing!$D$42:$K$47,MATCH($B21,Stat_Phasing!$B$42:$B$47,0),MATCH(AR$4,Stat_Phasing!$D$41:$K$41))</f>
        <v>0</v>
      </c>
      <c r="AS21" s="38">
        <f>$M21*INDEX(Stat_Phasing!$D$42:$K$47,MATCH($B21,Stat_Phasing!$B$42:$B$47,0),MATCH(AS$4,Stat_Phasing!$D$41:$K$41))</f>
        <v>0</v>
      </c>
      <c r="AT21" s="38">
        <f>$M21*INDEX(Stat_Phasing!$D$42:$K$47,MATCH($B21,Stat_Phasing!$B$42:$B$47,0),MATCH(AT$4,Stat_Phasing!$D$41:$K$41))</f>
        <v>0</v>
      </c>
      <c r="AU21" s="38">
        <f>$M21*INDEX(Stat_Phasing!$D$42:$K$47,MATCH($B21,Stat_Phasing!$B$42:$B$47,0),MATCH(AU$4,Stat_Phasing!$D$41:$K$41))</f>
        <v>0</v>
      </c>
      <c r="AV21" s="38">
        <f>$M21*INDEX(Stat_Phasing!$D$42:$K$47,MATCH($B21,Stat_Phasing!$B$42:$B$47,0),MATCH(AV$4,Stat_Phasing!$D$41:$K$41))</f>
        <v>0</v>
      </c>
      <c r="AW21" s="6"/>
      <c r="AX21" s="6">
        <f>N21+W21+AF21+AO21</f>
        <v>0</v>
      </c>
      <c r="AY21" s="6">
        <f>O21+X21+AG21+AP21</f>
        <v>0</v>
      </c>
      <c r="AZ21" s="6">
        <f>P21+Y21+AH21+AQ21</f>
        <v>0</v>
      </c>
      <c r="BA21" s="6">
        <f>Q21+Z21+AI21+AR21</f>
        <v>0</v>
      </c>
      <c r="BB21" s="6">
        <f>R21+AA21+AJ21+AS21</f>
        <v>0</v>
      </c>
      <c r="BC21" s="6">
        <f t="shared" si="1"/>
        <v>0</v>
      </c>
      <c r="BD21" s="6">
        <f t="shared" si="2"/>
        <v>0</v>
      </c>
      <c r="BE21" s="6">
        <f t="shared" si="3"/>
        <v>0</v>
      </c>
      <c r="BG21" s="14">
        <f t="shared" si="4"/>
        <v>0</v>
      </c>
      <c r="BH21" s="38">
        <f>BG21-SUM(I21:M21)</f>
        <v>0</v>
      </c>
      <c r="BJ21" s="38">
        <f t="shared" si="7"/>
        <v>0</v>
      </c>
      <c r="BK21" s="38">
        <f t="shared" si="8"/>
        <v>0</v>
      </c>
      <c r="BL21" s="38">
        <f t="shared" si="9"/>
        <v>0</v>
      </c>
      <c r="BM21" s="38">
        <f t="shared" si="10"/>
        <v>0</v>
      </c>
      <c r="BN21" s="38">
        <f t="shared" si="11"/>
        <v>0</v>
      </c>
      <c r="BO21" s="38"/>
      <c r="BP21" s="38"/>
      <c r="BQ21" s="38"/>
      <c r="BR21" s="38"/>
      <c r="BT21" s="16"/>
      <c r="BU21" s="16"/>
      <c r="BV21" s="16"/>
      <c r="BW21" s="16"/>
    </row>
    <row r="22" spans="2:75" x14ac:dyDescent="0.25">
      <c r="B22" s="165" t="str">
        <f>STN_5</f>
        <v>SLE</v>
      </c>
      <c r="C22" s="17">
        <f>INDEX(Schedule!$C$4:$E$9,MATCH($B22,Schedule!$B$4:$B$9,0),1)</f>
        <v>43692</v>
      </c>
      <c r="D22" s="17">
        <f>INDEX(Schedule!$C$4:$E$9,MATCH($B22,Schedule!$B$4:$B$9,0),2)</f>
        <v>44166</v>
      </c>
      <c r="E22" s="17">
        <f>INDEX(Schedule!$C$4:$E$9,MATCH($B22,Schedule!$B$4:$B$9,0),3)</f>
        <v>44652</v>
      </c>
      <c r="F22" s="676" t="s">
        <v>42</v>
      </c>
      <c r="G22" s="676" t="s">
        <v>22</v>
      </c>
      <c r="H22" s="676" t="str">
        <f t="shared" si="5"/>
        <v>SCADA/Network controlAugmentation</v>
      </c>
      <c r="I22" s="365">
        <f>INDEX(SLE_Det!$K$114:$O$118,MATCH($H22,SLE_Det!$F$114:$F$118,0),MATCH(I$3,SLE_Det!$K$4:$O$4,0))</f>
        <v>1880.8552141038801</v>
      </c>
      <c r="J22" s="365">
        <f>INDEX(SLE_Det!$K$114:$O$118,MATCH($H22,SLE_Det!$F$114:$F$118,0),MATCH(J$3,SLE_Det!$K$4:$O$4,0))</f>
        <v>336.75279615608144</v>
      </c>
      <c r="K22" s="365">
        <f>INDEX(SLE_Det!$K$114:$O$118,MATCH($H22,SLE_Det!$F$114:$F$118,0),MATCH(K$3,SLE_Det!$K$4:$O$4,0))</f>
        <v>351.358029802141</v>
      </c>
      <c r="L22" s="365">
        <f>INDEX(SLE_Det!$K$114:$O$118,MATCH($H22,SLE_Det!$F$114:$F$118,0),MATCH(L$3,SLE_Det!$K$4:$O$4,0))</f>
        <v>511.34630746742891</v>
      </c>
      <c r="M22" s="365">
        <f>INDEX(SLE_Det!$K$114:$O$118,MATCH($H22,SLE_Det!$F$114:$F$118,0),MATCH(M$3,SLE_Det!$K$4:$O$4,0))</f>
        <v>3.5587190143255261</v>
      </c>
      <c r="N22" s="38">
        <f>$I22*INDEX(Stat_Phasing!$D$6:$K$11,MATCH($B22,Stat_Phasing!$B$6:$B$11,0),MATCH(N$4,Stat_Phasing!$D$5:$K$5))</f>
        <v>0</v>
      </c>
      <c r="O22" s="38">
        <f>$I22*INDEX(Stat_Phasing!$D$6:$K$11,MATCH($B22,Stat_Phasing!$B$6:$B$11,0),MATCH(O$4,Stat_Phasing!$D$5:$K$5))</f>
        <v>0</v>
      </c>
      <c r="P22" s="38">
        <f>$I22*INDEX(Stat_Phasing!$D$6:$K$11,MATCH($B22,Stat_Phasing!$B$6:$B$11,0),MATCH(P$4,Stat_Phasing!$D$5:$K$5))</f>
        <v>0</v>
      </c>
      <c r="Q22" s="38">
        <f>$I22*INDEX(Stat_Phasing!$D$6:$K$11,MATCH($B22,Stat_Phasing!$B$6:$B$11,0),MATCH(Q$4,Stat_Phasing!$D$5:$K$5))</f>
        <v>0</v>
      </c>
      <c r="R22" s="38">
        <f>$I22*INDEX(Stat_Phasing!$D$6:$K$11,MATCH($B22,Stat_Phasing!$B$6:$B$11,0),MATCH(R$4,Stat_Phasing!$D$5:$K$5))</f>
        <v>517.235183878567</v>
      </c>
      <c r="S22" s="38">
        <f>$I22*INDEX(Stat_Phasing!$D$6:$K$11,MATCH($B22,Stat_Phasing!$B$6:$B$11,0),MATCH(S$4,Stat_Phasing!$D$5:$K$5))</f>
        <v>1081.4917481097309</v>
      </c>
      <c r="T22" s="38">
        <f>$I22*INDEX(Stat_Phasing!$D$6:$K$11,MATCH($B22,Stat_Phasing!$B$6:$B$11,0),MATCH(T$4,Stat_Phasing!$D$5:$K$5))</f>
        <v>282.12828211558201</v>
      </c>
      <c r="U22" s="38">
        <f>$I22*INDEX(Stat_Phasing!$D$6:$K$11,MATCH($B22,Stat_Phasing!$B$6:$B$11,0),MATCH(U$4,Stat_Phasing!$D$5:$K$5))</f>
        <v>0</v>
      </c>
      <c r="V22" s="38"/>
      <c r="W22" s="38">
        <f>$J22*INDEX(Stat_Phasing!$D$15:$K$20,MATCH($B22,Stat_Phasing!$B$15:$B$20,0),MATCH(W$4,Stat_Phasing!$D$14:$K$14))</f>
        <v>0</v>
      </c>
      <c r="X22" s="38">
        <f>$J22*INDEX(Stat_Phasing!$D$15:$K$20,MATCH($B22,Stat_Phasing!$B$15:$B$20,0),MATCH(X$4,Stat_Phasing!$D$14:$K$14))</f>
        <v>0</v>
      </c>
      <c r="Y22" s="38">
        <f>$J22*INDEX(Stat_Phasing!$D$15:$K$20,MATCH($B22,Stat_Phasing!$B$15:$B$20,0),MATCH(Y$4,Stat_Phasing!$D$14:$K$14))</f>
        <v>0</v>
      </c>
      <c r="Z22" s="38">
        <f>$J22*INDEX(Stat_Phasing!$D$15:$K$20,MATCH($B22,Stat_Phasing!$B$15:$B$20,0),MATCH(Z$4,Stat_Phasing!$D$14:$K$14))</f>
        <v>42.094099519510181</v>
      </c>
      <c r="AA22" s="38">
        <f>$J22*INDEX(Stat_Phasing!$D$15:$K$20,MATCH($B22,Stat_Phasing!$B$15:$B$20,0),MATCH(AA$4,Stat_Phasing!$D$14:$K$14))</f>
        <v>117.86347865462849</v>
      </c>
      <c r="AB22" s="38">
        <f>$J22*INDEX(Stat_Phasing!$D$15:$K$20,MATCH($B22,Stat_Phasing!$B$15:$B$20,0),MATCH(AB$4,Stat_Phasing!$D$14:$K$14))</f>
        <v>143.11993836633459</v>
      </c>
      <c r="AC22" s="38">
        <f>$J22*INDEX(Stat_Phasing!$D$15:$K$20,MATCH($B22,Stat_Phasing!$B$15:$B$20,0),MATCH(AC$4,Stat_Phasing!$D$14:$K$14))</f>
        <v>33.675279615608147</v>
      </c>
      <c r="AD22" s="38">
        <f>$J22*INDEX(Stat_Phasing!$D$15:$K$20,MATCH($B22,Stat_Phasing!$B$15:$B$20,0),MATCH(AD$4,Stat_Phasing!$D$14:$K$14))</f>
        <v>0</v>
      </c>
      <c r="AE22" s="38"/>
      <c r="AF22" s="38">
        <f>$K22*INDEX(Stat_Phasing!$D$24:$K$29,MATCH($B22,Stat_Phasing!$B$24:$B$29,0),MATCH(AF$4,Stat_Phasing!$D$23:$K$23))+$L22*INDEX(Stat_Phasing!$D$33:$K$38,MATCH($B22,Stat_Phasing!$B$33:$B$38,0),MATCH(AF$4,Stat_Phasing!$D$32:$K$32))</f>
        <v>0</v>
      </c>
      <c r="AG22" s="38">
        <f>$K22*INDEX(Stat_Phasing!$D$24:$K$29,MATCH($B22,Stat_Phasing!$B$24:$B$29,0),MATCH(AG$4,Stat_Phasing!$D$23:$K$23))+$L22*INDEX(Stat_Phasing!$D$33:$K$38,MATCH($B22,Stat_Phasing!$B$33:$B$38,0),MATCH(AG$4,Stat_Phasing!$D$32:$K$32))</f>
        <v>0</v>
      </c>
      <c r="AH22" s="38">
        <f>$K22*INDEX(Stat_Phasing!$D$24:$K$29,MATCH($B22,Stat_Phasing!$B$24:$B$29,0),MATCH(AH$4,Stat_Phasing!$D$23:$K$23))+$L22*INDEX(Stat_Phasing!$D$33:$K$38,MATCH($B22,Stat_Phasing!$B$33:$B$38,0),MATCH(AH$4,Stat_Phasing!$D$32:$K$32))</f>
        <v>0</v>
      </c>
      <c r="AI22" s="38">
        <f>$K22*INDEX(Stat_Phasing!$D$24:$K$29,MATCH($B22,Stat_Phasing!$B$24:$B$29,0),MATCH(AI$4,Stat_Phasing!$D$23:$K$23))+$L22*INDEX(Stat_Phasing!$D$33:$K$38,MATCH($B22,Stat_Phasing!$B$33:$B$38,0),MATCH(AI$4,Stat_Phasing!$D$32:$K$32))</f>
        <v>70.271605960428204</v>
      </c>
      <c r="AJ22" s="38">
        <f>$K22*INDEX(Stat_Phasing!$D$24:$K$29,MATCH($B22,Stat_Phasing!$B$24:$B$29,0),MATCH(AJ$4,Stat_Phasing!$D$23:$K$23))+$L22*INDEX(Stat_Phasing!$D$33:$K$38,MATCH($B22,Stat_Phasing!$B$33:$B$38,0),MATCH(AJ$4,Stat_Phasing!$D$32:$K$32))</f>
        <v>498.40860451537003</v>
      </c>
      <c r="AK22" s="38">
        <f>$K22*INDEX(Stat_Phasing!$D$24:$K$29,MATCH($B22,Stat_Phasing!$B$24:$B$29,0),MATCH(AK$4,Stat_Phasing!$D$23:$K$23))+$L22*INDEX(Stat_Phasing!$D$33:$K$38,MATCH($B22,Stat_Phasing!$B$33:$B$38,0),MATCH(AK$4,Stat_Phasing!$D$32:$K$32))</f>
        <v>237.41078560987771</v>
      </c>
      <c r="AL22" s="38">
        <f>$K22*INDEX(Stat_Phasing!$D$24:$K$29,MATCH($B22,Stat_Phasing!$B$24:$B$29,0),MATCH(AL$4,Stat_Phasing!$D$23:$K$23))+$L22*INDEX(Stat_Phasing!$D$33:$K$38,MATCH($B22,Stat_Phasing!$B$33:$B$38,0),MATCH(AL$4,Stat_Phasing!$D$32:$K$32))</f>
        <v>56.613341183893915</v>
      </c>
      <c r="AM22" s="38">
        <f>$K22*INDEX(Stat_Phasing!$D$24:$K$29,MATCH($B22,Stat_Phasing!$B$24:$B$29,0),MATCH(AM$4,Stat_Phasing!$D$23:$K$23))+$L22*INDEX(Stat_Phasing!$D$33:$K$38,MATCH($B22,Stat_Phasing!$B$33:$B$38,0),MATCH(AM$4,Stat_Phasing!$D$32:$K$32))</f>
        <v>0</v>
      </c>
      <c r="AN22" s="38"/>
      <c r="AO22" s="38">
        <f>$M22*INDEX(Stat_Phasing!$D$42:$K$47,MATCH($B22,Stat_Phasing!$B$42:$B$47,0),MATCH(AO$4,Stat_Phasing!$D$41:$K$41))</f>
        <v>0</v>
      </c>
      <c r="AP22" s="38">
        <f>$M22*INDEX(Stat_Phasing!$D$42:$K$47,MATCH($B22,Stat_Phasing!$B$42:$B$47,0),MATCH(AP$4,Stat_Phasing!$D$41:$K$41))</f>
        <v>0</v>
      </c>
      <c r="AQ22" s="38">
        <f>$M22*INDEX(Stat_Phasing!$D$42:$K$47,MATCH($B22,Stat_Phasing!$B$42:$B$47,0),MATCH(AQ$4,Stat_Phasing!$D$41:$K$41))</f>
        <v>0</v>
      </c>
      <c r="AR22" s="38">
        <f>$M22*INDEX(Stat_Phasing!$D$42:$K$47,MATCH($B22,Stat_Phasing!$B$42:$B$47,0),MATCH(AR$4,Stat_Phasing!$D$41:$K$41))</f>
        <v>0</v>
      </c>
      <c r="AS22" s="38">
        <f>$M22*INDEX(Stat_Phasing!$D$42:$K$47,MATCH($B22,Stat_Phasing!$B$42:$B$47,0),MATCH(AS$4,Stat_Phasing!$D$41:$K$41))</f>
        <v>1.5251652918537968</v>
      </c>
      <c r="AT22" s="38">
        <f>$M22*INDEX(Stat_Phasing!$D$42:$K$47,MATCH($B22,Stat_Phasing!$B$42:$B$47,0),MATCH(AT$4,Stat_Phasing!$D$41:$K$41))</f>
        <v>1.5251652918537968</v>
      </c>
      <c r="AU22" s="38">
        <f>$M22*INDEX(Stat_Phasing!$D$42:$K$47,MATCH($B22,Stat_Phasing!$B$42:$B$47,0),MATCH(AU$4,Stat_Phasing!$D$41:$K$41))</f>
        <v>0.50838843061793215</v>
      </c>
      <c r="AV22" s="38">
        <f>$M22*INDEX(Stat_Phasing!$D$42:$K$47,MATCH($B22,Stat_Phasing!$B$42:$B$47,0),MATCH(AV$4,Stat_Phasing!$D$41:$K$41))</f>
        <v>0</v>
      </c>
      <c r="AW22" s="6"/>
      <c r="AX22" s="6">
        <f t="shared" si="12"/>
        <v>0</v>
      </c>
      <c r="AY22" s="6">
        <f t="shared" si="13"/>
        <v>0</v>
      </c>
      <c r="AZ22" s="6">
        <f t="shared" si="14"/>
        <v>0</v>
      </c>
      <c r="BA22" s="6">
        <f t="shared" si="15"/>
        <v>112.36570547993838</v>
      </c>
      <c r="BB22" s="6">
        <f t="shared" si="16"/>
        <v>1135.0324323404195</v>
      </c>
      <c r="BC22" s="6">
        <f t="shared" si="1"/>
        <v>1463.5476373777969</v>
      </c>
      <c r="BD22" s="6">
        <f t="shared" si="2"/>
        <v>372.92529134570196</v>
      </c>
      <c r="BE22" s="6">
        <f t="shared" si="3"/>
        <v>0</v>
      </c>
      <c r="BG22" s="14">
        <f t="shared" si="4"/>
        <v>3083.8710665438571</v>
      </c>
      <c r="BH22" s="38">
        <f t="shared" si="6"/>
        <v>0</v>
      </c>
      <c r="BJ22" s="38">
        <f t="shared" si="7"/>
        <v>517.235183878567</v>
      </c>
      <c r="BK22" s="38">
        <f t="shared" si="8"/>
        <v>159.95757817413869</v>
      </c>
      <c r="BL22" s="38">
        <f t="shared" si="9"/>
        <v>351.358029802141</v>
      </c>
      <c r="BM22" s="38">
        <f t="shared" si="10"/>
        <v>217.32218067365727</v>
      </c>
      <c r="BN22" s="38">
        <f t="shared" si="11"/>
        <v>1.5251652918537968</v>
      </c>
      <c r="BO22" s="38"/>
      <c r="BP22" s="38"/>
      <c r="BQ22" s="38"/>
      <c r="BR22" s="38"/>
      <c r="BT22" s="16"/>
      <c r="BU22" s="16"/>
      <c r="BV22" s="16"/>
      <c r="BW22" s="16"/>
    </row>
    <row r="23" spans="2:75" x14ac:dyDescent="0.25">
      <c r="B23" s="165" t="str">
        <f>STN_5</f>
        <v>SLE</v>
      </c>
      <c r="C23" s="17">
        <f>INDEX(Schedule!$C$4:$E$9,MATCH($B23,Schedule!$B$4:$B$9,0),1)</f>
        <v>43692</v>
      </c>
      <c r="D23" s="17">
        <f>INDEX(Schedule!$C$4:$E$9,MATCH($B23,Schedule!$B$4:$B$9,0),2)</f>
        <v>44166</v>
      </c>
      <c r="E23" s="17">
        <f>INDEX(Schedule!$C$4:$E$9,MATCH($B23,Schedule!$B$4:$B$9,0),3)</f>
        <v>44652</v>
      </c>
      <c r="F23" s="676" t="s">
        <v>83</v>
      </c>
      <c r="G23" s="676" t="s">
        <v>211</v>
      </c>
      <c r="H23" s="676" t="str">
        <f>G23&amp;F23</f>
        <v>LandNon-Network</v>
      </c>
      <c r="I23" s="365">
        <f>INDEX(SLE_Det!$K$114:$O$118,MATCH($H23,SLE_Det!$F$114:$F$118,0),MATCH(I$3,SLE_Det!$K$4:$O$4,0))</f>
        <v>0</v>
      </c>
      <c r="J23" s="365">
        <f>INDEX(SLE_Det!$K$114:$O$118,MATCH($H23,SLE_Det!$F$114:$F$118,0),MATCH(J$3,SLE_Det!$K$4:$O$4,0))</f>
        <v>0</v>
      </c>
      <c r="K23" s="365">
        <f>INDEX(SLE_Det!$K$114:$O$118,MATCH($H23,SLE_Det!$F$114:$F$118,0),MATCH(K$3,SLE_Det!$K$4:$O$4,0))</f>
        <v>0</v>
      </c>
      <c r="L23" s="365">
        <f>INDEX(SLE_Det!$K$114:$O$118,MATCH($H23,SLE_Det!$F$114:$F$118,0),MATCH(L$3,SLE_Det!$K$4:$O$4,0))</f>
        <v>0</v>
      </c>
      <c r="M23" s="365">
        <f>INDEX(SLE_Det!$K$114:$O$118,MATCH($H23,SLE_Det!$F$114:$F$118,0),MATCH(M$3,SLE_Det!$K$4:$O$4,0))</f>
        <v>0</v>
      </c>
      <c r="N23" s="38">
        <f>$I23*INDEX(Stat_Phasing!$D$6:$K$11,MATCH($B23,Stat_Phasing!$B$6:$B$11,0),MATCH(N$4,Stat_Phasing!$D$5:$K$5))</f>
        <v>0</v>
      </c>
      <c r="O23" s="38">
        <f>$I23*INDEX(Stat_Phasing!$D$6:$K$11,MATCH($B23,Stat_Phasing!$B$6:$B$11,0),MATCH(O$4,Stat_Phasing!$D$5:$K$5))</f>
        <v>0</v>
      </c>
      <c r="P23" s="38">
        <f>$I23*INDEX(Stat_Phasing!$D$6:$K$11,MATCH($B23,Stat_Phasing!$B$6:$B$11,0),MATCH(P$4,Stat_Phasing!$D$5:$K$5))</f>
        <v>0</v>
      </c>
      <c r="Q23" s="38">
        <f>$I23*INDEX(Stat_Phasing!$D$6:$K$11,MATCH($B23,Stat_Phasing!$B$6:$B$11,0),MATCH(Q$4,Stat_Phasing!$D$5:$K$5))</f>
        <v>0</v>
      </c>
      <c r="R23" s="38">
        <f>$I23*INDEX(Stat_Phasing!$D$6:$K$11,MATCH($B23,Stat_Phasing!$B$6:$B$11,0),MATCH(R$4,Stat_Phasing!$D$5:$K$5))</f>
        <v>0</v>
      </c>
      <c r="S23" s="38">
        <f>$I23*INDEX(Stat_Phasing!$D$6:$K$11,MATCH($B23,Stat_Phasing!$B$6:$B$11,0),MATCH(S$4,Stat_Phasing!$D$5:$K$5))</f>
        <v>0</v>
      </c>
      <c r="T23" s="38">
        <f>$I23*INDEX(Stat_Phasing!$D$6:$K$11,MATCH($B23,Stat_Phasing!$B$6:$B$11,0),MATCH(T$4,Stat_Phasing!$D$5:$K$5))</f>
        <v>0</v>
      </c>
      <c r="U23" s="38">
        <f>$I23*INDEX(Stat_Phasing!$D$6:$K$11,MATCH($B23,Stat_Phasing!$B$6:$B$11,0),MATCH(U$4,Stat_Phasing!$D$5:$K$5))</f>
        <v>0</v>
      </c>
      <c r="V23" s="38"/>
      <c r="W23" s="38">
        <f>$J23*INDEX(Stat_Phasing!$D$15:$K$20,MATCH($B23,Stat_Phasing!$B$15:$B$20,0),MATCH(W$4,Stat_Phasing!$D$14:$K$14))</f>
        <v>0</v>
      </c>
      <c r="X23" s="38">
        <f>$J23*INDEX(Stat_Phasing!$D$15:$K$20,MATCH($B23,Stat_Phasing!$B$15:$B$20,0),MATCH(X$4,Stat_Phasing!$D$14:$K$14))</f>
        <v>0</v>
      </c>
      <c r="Y23" s="38">
        <f>$J23*INDEX(Stat_Phasing!$D$15:$K$20,MATCH($B23,Stat_Phasing!$B$15:$B$20,0),MATCH(Y$4,Stat_Phasing!$D$14:$K$14))</f>
        <v>0</v>
      </c>
      <c r="Z23" s="38">
        <f>$J23*INDEX(Stat_Phasing!$D$15:$K$20,MATCH($B23,Stat_Phasing!$B$15:$B$20,0),MATCH(Z$4,Stat_Phasing!$D$14:$K$14))</f>
        <v>0</v>
      </c>
      <c r="AA23" s="38">
        <f>$J23*INDEX(Stat_Phasing!$D$15:$K$20,MATCH($B23,Stat_Phasing!$B$15:$B$20,0),MATCH(AA$4,Stat_Phasing!$D$14:$K$14))</f>
        <v>0</v>
      </c>
      <c r="AB23" s="38">
        <f>$J23*INDEX(Stat_Phasing!$D$15:$K$20,MATCH($B23,Stat_Phasing!$B$15:$B$20,0),MATCH(AB$4,Stat_Phasing!$D$14:$K$14))</f>
        <v>0</v>
      </c>
      <c r="AC23" s="38">
        <f>$J23*INDEX(Stat_Phasing!$D$15:$K$20,MATCH($B23,Stat_Phasing!$B$15:$B$20,0),MATCH(AC$4,Stat_Phasing!$D$14:$K$14))</f>
        <v>0</v>
      </c>
      <c r="AD23" s="38">
        <f>$J23*INDEX(Stat_Phasing!$D$15:$K$20,MATCH($B23,Stat_Phasing!$B$15:$B$20,0),MATCH(AD$4,Stat_Phasing!$D$14:$K$14))</f>
        <v>0</v>
      </c>
      <c r="AE23" s="38"/>
      <c r="AF23" s="38">
        <f>$K23*INDEX(Stat_Phasing!$D$24:$K$29,MATCH($B23,Stat_Phasing!$B$24:$B$29,0),MATCH(AF$4,Stat_Phasing!$D$23:$K$23))+$L23*INDEX(Stat_Phasing!$D$33:$K$38,MATCH($B23,Stat_Phasing!$B$33:$B$38,0),MATCH(AF$4,Stat_Phasing!$D$32:$K$32))</f>
        <v>0</v>
      </c>
      <c r="AG23" s="38">
        <f>$K23*INDEX(Stat_Phasing!$D$24:$K$29,MATCH($B23,Stat_Phasing!$B$24:$B$29,0),MATCH(AG$4,Stat_Phasing!$D$23:$K$23))+$L23*INDEX(Stat_Phasing!$D$33:$K$38,MATCH($B23,Stat_Phasing!$B$33:$B$38,0),MATCH(AG$4,Stat_Phasing!$D$32:$K$32))</f>
        <v>0</v>
      </c>
      <c r="AH23" s="38">
        <f>$K23*INDEX(Stat_Phasing!$D$24:$K$29,MATCH($B23,Stat_Phasing!$B$24:$B$29,0),MATCH(AH$4,Stat_Phasing!$D$23:$K$23))+$L23*INDEX(Stat_Phasing!$D$33:$K$38,MATCH($B23,Stat_Phasing!$B$33:$B$38,0),MATCH(AH$4,Stat_Phasing!$D$32:$K$32))</f>
        <v>0</v>
      </c>
      <c r="AI23" s="38">
        <f>$K23*INDEX(Stat_Phasing!$D$24:$K$29,MATCH($B23,Stat_Phasing!$B$24:$B$29,0),MATCH(AI$4,Stat_Phasing!$D$23:$K$23))+$L23*INDEX(Stat_Phasing!$D$33:$K$38,MATCH($B23,Stat_Phasing!$B$33:$B$38,0),MATCH(AI$4,Stat_Phasing!$D$32:$K$32))</f>
        <v>0</v>
      </c>
      <c r="AJ23" s="38">
        <f>$K23*INDEX(Stat_Phasing!$D$24:$K$29,MATCH($B23,Stat_Phasing!$B$24:$B$29,0),MATCH(AJ$4,Stat_Phasing!$D$23:$K$23))+$L23*INDEX(Stat_Phasing!$D$33:$K$38,MATCH($B23,Stat_Phasing!$B$33:$B$38,0),MATCH(AJ$4,Stat_Phasing!$D$32:$K$32))</f>
        <v>0</v>
      </c>
      <c r="AK23" s="38">
        <f>$K23*INDEX(Stat_Phasing!$D$24:$K$29,MATCH($B23,Stat_Phasing!$B$24:$B$29,0),MATCH(AK$4,Stat_Phasing!$D$23:$K$23))+$L23*INDEX(Stat_Phasing!$D$33:$K$38,MATCH($B23,Stat_Phasing!$B$33:$B$38,0),MATCH(AK$4,Stat_Phasing!$D$32:$K$32))</f>
        <v>0</v>
      </c>
      <c r="AL23" s="38">
        <f>$K23*INDEX(Stat_Phasing!$D$24:$K$29,MATCH($B23,Stat_Phasing!$B$24:$B$29,0),MATCH(AL$4,Stat_Phasing!$D$23:$K$23))+$L23*INDEX(Stat_Phasing!$D$33:$K$38,MATCH($B23,Stat_Phasing!$B$33:$B$38,0),MATCH(AL$4,Stat_Phasing!$D$32:$K$32))</f>
        <v>0</v>
      </c>
      <c r="AM23" s="38">
        <f>$K23*INDEX(Stat_Phasing!$D$24:$K$29,MATCH($B23,Stat_Phasing!$B$24:$B$29,0),MATCH(AM$4,Stat_Phasing!$D$23:$K$23))+$L23*INDEX(Stat_Phasing!$D$33:$K$38,MATCH($B23,Stat_Phasing!$B$33:$B$38,0),MATCH(AM$4,Stat_Phasing!$D$32:$K$32))</f>
        <v>0</v>
      </c>
      <c r="AN23" s="38"/>
      <c r="AO23" s="38">
        <f>$M23*INDEX(Stat_Phasing!$D$42:$K$47,MATCH($B23,Stat_Phasing!$B$42:$B$47,0),MATCH(AO$4,Stat_Phasing!$D$41:$K$41))</f>
        <v>0</v>
      </c>
      <c r="AP23" s="38">
        <f>$M23*INDEX(Stat_Phasing!$D$42:$K$47,MATCH($B23,Stat_Phasing!$B$42:$B$47,0),MATCH(AP$4,Stat_Phasing!$D$41:$K$41))</f>
        <v>0</v>
      </c>
      <c r="AQ23" s="38">
        <f>$M23*INDEX(Stat_Phasing!$D$42:$K$47,MATCH($B23,Stat_Phasing!$B$42:$B$47,0),MATCH(AQ$4,Stat_Phasing!$D$41:$K$41))</f>
        <v>0</v>
      </c>
      <c r="AR23" s="38">
        <f>$M23*INDEX(Stat_Phasing!$D$42:$K$47,MATCH($B23,Stat_Phasing!$B$42:$B$47,0),MATCH(AR$4,Stat_Phasing!$D$41:$K$41))</f>
        <v>0</v>
      </c>
      <c r="AS23" s="38">
        <f>$M23*INDEX(Stat_Phasing!$D$42:$K$47,MATCH($B23,Stat_Phasing!$B$42:$B$47,0),MATCH(AS$4,Stat_Phasing!$D$41:$K$41))</f>
        <v>0</v>
      </c>
      <c r="AT23" s="38">
        <f>$M23*INDEX(Stat_Phasing!$D$42:$K$47,MATCH($B23,Stat_Phasing!$B$42:$B$47,0),MATCH(AT$4,Stat_Phasing!$D$41:$K$41))</f>
        <v>0</v>
      </c>
      <c r="AU23" s="38">
        <f>$M23*INDEX(Stat_Phasing!$D$42:$K$47,MATCH($B23,Stat_Phasing!$B$42:$B$47,0),MATCH(AU$4,Stat_Phasing!$D$41:$K$41))</f>
        <v>0</v>
      </c>
      <c r="AV23" s="38">
        <f>$M23*INDEX(Stat_Phasing!$D$42:$K$47,MATCH($B23,Stat_Phasing!$B$42:$B$47,0),MATCH(AV$4,Stat_Phasing!$D$41:$K$41))</f>
        <v>0</v>
      </c>
      <c r="AW23" s="6"/>
      <c r="AX23" s="6">
        <f t="shared" si="12"/>
        <v>0</v>
      </c>
      <c r="AY23" s="6">
        <f t="shared" si="13"/>
        <v>0</v>
      </c>
      <c r="AZ23" s="6">
        <f t="shared" si="14"/>
        <v>0</v>
      </c>
      <c r="BA23" s="6">
        <f t="shared" si="15"/>
        <v>0</v>
      </c>
      <c r="BB23" s="6">
        <f t="shared" si="16"/>
        <v>0</v>
      </c>
      <c r="BC23" s="6">
        <f t="shared" si="1"/>
        <v>0</v>
      </c>
      <c r="BD23" s="6">
        <f t="shared" si="2"/>
        <v>0</v>
      </c>
      <c r="BE23" s="6">
        <f t="shared" si="3"/>
        <v>0</v>
      </c>
      <c r="BG23" s="14">
        <f t="shared" si="4"/>
        <v>0</v>
      </c>
      <c r="BH23" s="38">
        <f t="shared" si="6"/>
        <v>0</v>
      </c>
      <c r="BJ23" s="38">
        <f t="shared" si="7"/>
        <v>0</v>
      </c>
      <c r="BK23" s="38">
        <f t="shared" si="8"/>
        <v>0</v>
      </c>
      <c r="BL23" s="38">
        <f t="shared" si="9"/>
        <v>0</v>
      </c>
      <c r="BM23" s="38">
        <f t="shared" si="10"/>
        <v>0</v>
      </c>
      <c r="BN23" s="38">
        <f t="shared" si="11"/>
        <v>0</v>
      </c>
      <c r="BO23" s="38"/>
      <c r="BP23" s="38"/>
      <c r="BQ23" s="38"/>
      <c r="BR23" s="38"/>
      <c r="BT23" s="16"/>
      <c r="BU23" s="16"/>
      <c r="BV23" s="16"/>
      <c r="BW23" s="16"/>
    </row>
    <row r="24" spans="2:75" x14ac:dyDescent="0.25">
      <c r="B24" s="164" t="str">
        <f>STN_9</f>
        <v>KLO2</v>
      </c>
      <c r="C24" s="17">
        <f>INDEX(Schedule!$C$4:$E$9,MATCH($B24,Schedule!$B$4:$B$9,0),1)</f>
        <v>43862</v>
      </c>
      <c r="D24" s="17">
        <f>INDEX(Schedule!$C$4:$E$9,MATCH($B24,Schedule!$B$4:$B$9,0),2)</f>
        <v>44197</v>
      </c>
      <c r="E24" s="17">
        <f>INDEX(Schedule!$C$4:$E$9,MATCH($B24,Schedule!$B$4:$B$9,0),3)</f>
        <v>44896</v>
      </c>
      <c r="F24" s="677" t="s">
        <v>42</v>
      </c>
      <c r="G24" s="676" t="s">
        <v>18</v>
      </c>
      <c r="H24" s="676" t="str">
        <f t="shared" si="5"/>
        <v>SubtransmissionAugmentation</v>
      </c>
      <c r="I24" s="365">
        <f>New_KLO2!F15</f>
        <v>3664.91200665423</v>
      </c>
      <c r="J24" s="365">
        <f>New_KLO2!G15</f>
        <v>1792.6176968922546</v>
      </c>
      <c r="K24" s="365">
        <f>New_KLO2!H15</f>
        <v>962.23008849557505</v>
      </c>
      <c r="L24" s="365">
        <f>New_KLO2!I15</f>
        <v>4854.9547584759021</v>
      </c>
      <c r="M24" s="365">
        <f>New_KLO2!J15</f>
        <v>1371.6793871716393</v>
      </c>
      <c r="N24" s="38">
        <f>$I24*INDEX(Stat_Phasing!$D$6:$K$11,MATCH($B24,Stat_Phasing!$B$6:$B$11,0),MATCH(N$4,Stat_Phasing!$D$5:$K$5))</f>
        <v>0</v>
      </c>
      <c r="O24" s="38">
        <f>$I24*INDEX(Stat_Phasing!$D$6:$K$11,MATCH($B24,Stat_Phasing!$B$6:$B$11,0),MATCH(O$4,Stat_Phasing!$D$5:$K$5))</f>
        <v>0</v>
      </c>
      <c r="P24" s="38">
        <f>$I24*INDEX(Stat_Phasing!$D$6:$K$11,MATCH($B24,Stat_Phasing!$B$6:$B$11,0),MATCH(P$4,Stat_Phasing!$D$5:$K$5))</f>
        <v>0</v>
      </c>
      <c r="Q24" s="38">
        <f>$I24*INDEX(Stat_Phasing!$D$6:$K$11,MATCH($B24,Stat_Phasing!$B$6:$B$11,0),MATCH(Q$4,Stat_Phasing!$D$5:$K$5))</f>
        <v>0</v>
      </c>
      <c r="R24" s="38">
        <f>$I24*INDEX(Stat_Phasing!$D$6:$K$11,MATCH($B24,Stat_Phasing!$B$6:$B$11,0),MATCH(R$4,Stat_Phasing!$D$5:$K$5))</f>
        <v>2565.4384046579607</v>
      </c>
      <c r="S24" s="38">
        <f>$I24*INDEX(Stat_Phasing!$D$6:$K$11,MATCH($B24,Stat_Phasing!$B$6:$B$11,0),MATCH(S$4,Stat_Phasing!$D$5:$K$5))</f>
        <v>732.98240133084607</v>
      </c>
      <c r="T24" s="38">
        <f>$I24*INDEX(Stat_Phasing!$D$6:$K$11,MATCH($B24,Stat_Phasing!$B$6:$B$11,0),MATCH(T$4,Stat_Phasing!$D$5:$K$5))</f>
        <v>366.49120066542304</v>
      </c>
      <c r="U24" s="38">
        <f>$I24*INDEX(Stat_Phasing!$D$6:$K$11,MATCH($B24,Stat_Phasing!$B$6:$B$11,0),MATCH(U$4,Stat_Phasing!$D$5:$K$5))</f>
        <v>0</v>
      </c>
      <c r="V24" s="38"/>
      <c r="W24" s="38">
        <f>$J24*INDEX(Stat_Phasing!$D$15:$K$20,MATCH($B24,Stat_Phasing!$B$15:$B$20,0),MATCH(W$4,Stat_Phasing!$D$14:$K$14))</f>
        <v>0</v>
      </c>
      <c r="X24" s="38">
        <f>$J24*INDEX(Stat_Phasing!$D$15:$K$20,MATCH($B24,Stat_Phasing!$B$15:$B$20,0),MATCH(X$4,Stat_Phasing!$D$14:$K$14))</f>
        <v>0</v>
      </c>
      <c r="Y24" s="38">
        <f>$J24*INDEX(Stat_Phasing!$D$15:$K$20,MATCH($B24,Stat_Phasing!$B$15:$B$20,0),MATCH(Y$4,Stat_Phasing!$D$14:$K$14))</f>
        <v>0</v>
      </c>
      <c r="Z24" s="38">
        <f>$J24*INDEX(Stat_Phasing!$D$15:$K$20,MATCH($B24,Stat_Phasing!$B$15:$B$20,0),MATCH(Z$4,Stat_Phasing!$D$14:$K$14))</f>
        <v>0</v>
      </c>
      <c r="AA24" s="38">
        <f>$J24*INDEX(Stat_Phasing!$D$15:$K$20,MATCH($B24,Stat_Phasing!$B$15:$B$20,0),MATCH(AA$4,Stat_Phasing!$D$14:$K$14))</f>
        <v>179.26176968922547</v>
      </c>
      <c r="AB24" s="38">
        <f>$J24*INDEX(Stat_Phasing!$D$15:$K$20,MATCH($B24,Stat_Phasing!$B$15:$B$20,0),MATCH(AB$4,Stat_Phasing!$D$14:$K$14))</f>
        <v>896.30884844612729</v>
      </c>
      <c r="AC24" s="38">
        <f>$J24*INDEX(Stat_Phasing!$D$15:$K$20,MATCH($B24,Stat_Phasing!$B$15:$B$20,0),MATCH(AC$4,Stat_Phasing!$D$14:$K$14))</f>
        <v>717.0470787569019</v>
      </c>
      <c r="AD24" s="38">
        <f>$J24*INDEX(Stat_Phasing!$D$15:$K$20,MATCH($B24,Stat_Phasing!$B$15:$B$20,0),MATCH(AD$4,Stat_Phasing!$D$14:$K$14))</f>
        <v>0</v>
      </c>
      <c r="AE24" s="38"/>
      <c r="AF24" s="38">
        <f>$K24*INDEX(Stat_Phasing!$D$24:$K$29,MATCH($B24,Stat_Phasing!$B$24:$B$29,0),MATCH(AF$4,Stat_Phasing!$D$23:$K$23))+$L24*INDEX(Stat_Phasing!$D$33:$K$38,MATCH($B24,Stat_Phasing!$B$33:$B$38,0),MATCH(AF$4,Stat_Phasing!$D$32:$K$32))</f>
        <v>0</v>
      </c>
      <c r="AG24" s="38">
        <f>$K24*INDEX(Stat_Phasing!$D$24:$K$29,MATCH($B24,Stat_Phasing!$B$24:$B$29,0),MATCH(AG$4,Stat_Phasing!$D$23:$K$23))+$L24*INDEX(Stat_Phasing!$D$33:$K$38,MATCH($B24,Stat_Phasing!$B$33:$B$38,0),MATCH(AG$4,Stat_Phasing!$D$32:$K$32))</f>
        <v>0</v>
      </c>
      <c r="AH24" s="38">
        <f>$K24*INDEX(Stat_Phasing!$D$24:$K$29,MATCH($B24,Stat_Phasing!$B$24:$B$29,0),MATCH(AH$4,Stat_Phasing!$D$23:$K$23))+$L24*INDEX(Stat_Phasing!$D$33:$K$38,MATCH($B24,Stat_Phasing!$B$33:$B$38,0),MATCH(AH$4,Stat_Phasing!$D$32:$K$32))</f>
        <v>0</v>
      </c>
      <c r="AI24" s="38">
        <f>$K24*INDEX(Stat_Phasing!$D$24:$K$29,MATCH($B24,Stat_Phasing!$B$24:$B$29,0),MATCH(AI$4,Stat_Phasing!$D$23:$K$23))+$L24*INDEX(Stat_Phasing!$D$33:$K$38,MATCH($B24,Stat_Phasing!$B$33:$B$38,0),MATCH(AI$4,Stat_Phasing!$D$32:$K$32))</f>
        <v>0</v>
      </c>
      <c r="AJ24" s="38">
        <f>$K24*INDEX(Stat_Phasing!$D$24:$K$29,MATCH($B24,Stat_Phasing!$B$24:$B$29,0),MATCH(AJ$4,Stat_Phasing!$D$23:$K$23))+$L24*INDEX(Stat_Phasing!$D$33:$K$38,MATCH($B24,Stat_Phasing!$B$33:$B$38,0),MATCH(AJ$4,Stat_Phasing!$D$32:$K$32))</f>
        <v>962.23008849557505</v>
      </c>
      <c r="AK24" s="38">
        <f>$K24*INDEX(Stat_Phasing!$D$24:$K$29,MATCH($B24,Stat_Phasing!$B$24:$B$29,0),MATCH(AK$4,Stat_Phasing!$D$23:$K$23))+$L24*INDEX(Stat_Phasing!$D$33:$K$38,MATCH($B24,Stat_Phasing!$B$33:$B$38,0),MATCH(AK$4,Stat_Phasing!$D$32:$K$32))</f>
        <v>2427.477379237951</v>
      </c>
      <c r="AL24" s="38">
        <f>$K24*INDEX(Stat_Phasing!$D$24:$K$29,MATCH($B24,Stat_Phasing!$B$24:$B$29,0),MATCH(AL$4,Stat_Phasing!$D$23:$K$23))+$L24*INDEX(Stat_Phasing!$D$33:$K$38,MATCH($B24,Stat_Phasing!$B$33:$B$38,0),MATCH(AL$4,Stat_Phasing!$D$32:$K$32))</f>
        <v>2427.477379237951</v>
      </c>
      <c r="AM24" s="38">
        <f>$K24*INDEX(Stat_Phasing!$D$24:$K$29,MATCH($B24,Stat_Phasing!$B$24:$B$29,0),MATCH(AM$4,Stat_Phasing!$D$23:$K$23))+$L24*INDEX(Stat_Phasing!$D$33:$K$38,MATCH($B24,Stat_Phasing!$B$33:$B$38,0),MATCH(AM$4,Stat_Phasing!$D$32:$K$32))</f>
        <v>0</v>
      </c>
      <c r="AN24" s="38"/>
      <c r="AO24" s="38">
        <f>$M24*INDEX(Stat_Phasing!$D$42:$K$47,MATCH($B24,Stat_Phasing!$B$42:$B$47,0),MATCH(AO$4,Stat_Phasing!$D$41:$K$41))</f>
        <v>0</v>
      </c>
      <c r="AP24" s="38">
        <f>$M24*INDEX(Stat_Phasing!$D$42:$K$47,MATCH($B24,Stat_Phasing!$B$42:$B$47,0),MATCH(AP$4,Stat_Phasing!$D$41:$K$41))</f>
        <v>0</v>
      </c>
      <c r="AQ24" s="38">
        <f>$M24*INDEX(Stat_Phasing!$D$42:$K$47,MATCH($B24,Stat_Phasing!$B$42:$B$47,0),MATCH(AQ$4,Stat_Phasing!$D$41:$K$41))</f>
        <v>0</v>
      </c>
      <c r="AR24" s="38">
        <f>$M24*INDEX(Stat_Phasing!$D$42:$K$47,MATCH($B24,Stat_Phasing!$B$42:$B$47,0),MATCH(AR$4,Stat_Phasing!$D$41:$K$41))</f>
        <v>0</v>
      </c>
      <c r="AS24" s="38">
        <f>$M24*INDEX(Stat_Phasing!$D$42:$K$47,MATCH($B24,Stat_Phasing!$B$42:$B$47,0),MATCH(AS$4,Stat_Phasing!$D$41:$K$41))</f>
        <v>0</v>
      </c>
      <c r="AT24" s="38">
        <f>$M24*INDEX(Stat_Phasing!$D$42:$K$47,MATCH($B24,Stat_Phasing!$B$42:$B$47,0),MATCH(AT$4,Stat_Phasing!$D$41:$K$41))</f>
        <v>685.83969358581965</v>
      </c>
      <c r="AU24" s="38">
        <f>$M24*INDEX(Stat_Phasing!$D$42:$K$47,MATCH($B24,Stat_Phasing!$B$42:$B$47,0),MATCH(AU$4,Stat_Phasing!$D$41:$K$41))</f>
        <v>685.83969358581965</v>
      </c>
      <c r="AV24" s="38">
        <f>$M24*INDEX(Stat_Phasing!$D$42:$K$47,MATCH($B24,Stat_Phasing!$B$42:$B$47,0),MATCH(AV$4,Stat_Phasing!$D$41:$K$41))</f>
        <v>0</v>
      </c>
      <c r="AW24" s="6"/>
      <c r="AX24" s="6">
        <f t="shared" si="12"/>
        <v>0</v>
      </c>
      <c r="AY24" s="6">
        <f t="shared" si="13"/>
        <v>0</v>
      </c>
      <c r="AZ24" s="6">
        <f t="shared" si="14"/>
        <v>0</v>
      </c>
      <c r="BA24" s="6">
        <f t="shared" si="15"/>
        <v>0</v>
      </c>
      <c r="BB24" s="6">
        <f t="shared" si="16"/>
        <v>3706.9302628427613</v>
      </c>
      <c r="BC24" s="6">
        <f t="shared" si="1"/>
        <v>4742.608322600744</v>
      </c>
      <c r="BD24" s="6">
        <f t="shared" si="2"/>
        <v>4196.8553522460961</v>
      </c>
      <c r="BE24" s="6">
        <f t="shared" si="3"/>
        <v>0</v>
      </c>
      <c r="BG24" s="14">
        <f t="shared" si="4"/>
        <v>12646.393937689601</v>
      </c>
      <c r="BH24" s="38">
        <f t="shared" si="6"/>
        <v>0</v>
      </c>
      <c r="BJ24" s="38">
        <f t="shared" si="7"/>
        <v>2565.4384046579607</v>
      </c>
      <c r="BK24" s="38">
        <f t="shared" si="8"/>
        <v>179.26176968922547</v>
      </c>
      <c r="BL24" s="38">
        <f t="shared" si="9"/>
        <v>962.23008849557505</v>
      </c>
      <c r="BM24" s="38">
        <f t="shared" si="10"/>
        <v>0</v>
      </c>
      <c r="BN24" s="38">
        <f t="shared" si="11"/>
        <v>0</v>
      </c>
      <c r="BO24" s="38"/>
      <c r="BP24" s="38"/>
      <c r="BQ24" s="38"/>
      <c r="BR24" s="38"/>
      <c r="BT24" s="16"/>
      <c r="BU24" s="16"/>
      <c r="BV24" s="16"/>
      <c r="BW24" s="16"/>
    </row>
    <row r="25" spans="2:75" x14ac:dyDescent="0.25">
      <c r="B25" s="164" t="str">
        <f>STN_9</f>
        <v>KLO2</v>
      </c>
      <c r="C25" s="17">
        <f>INDEX(Schedule!$C$4:$E$9,MATCH($B25,Schedule!$B$4:$B$9,0),1)</f>
        <v>43862</v>
      </c>
      <c r="D25" s="17">
        <f>INDEX(Schedule!$C$4:$E$9,MATCH($B25,Schedule!$B$4:$B$9,0),2)</f>
        <v>44197</v>
      </c>
      <c r="E25" s="17">
        <f>INDEX(Schedule!$C$4:$E$9,MATCH($B25,Schedule!$B$4:$B$9,0),3)</f>
        <v>44896</v>
      </c>
      <c r="F25" s="677" t="s">
        <v>42</v>
      </c>
      <c r="G25" s="676" t="s">
        <v>22</v>
      </c>
      <c r="H25" s="676" t="str">
        <f t="shared" si="5"/>
        <v>SCADA/Network controlAugmentation</v>
      </c>
      <c r="I25" s="365">
        <f>New_KLO2!F16</f>
        <v>646.74917764486406</v>
      </c>
      <c r="J25" s="365">
        <f>New_KLO2!G16</f>
        <v>316.34429945157433</v>
      </c>
      <c r="K25" s="365">
        <f>New_KLO2!H16</f>
        <v>169.80530973451323</v>
      </c>
      <c r="L25" s="365">
        <f>New_KLO2!I16</f>
        <v>856.75672208398271</v>
      </c>
      <c r="M25" s="365">
        <f>New_KLO2!J16</f>
        <v>242.06106832440693</v>
      </c>
      <c r="N25" s="38">
        <f>$I25*INDEX(Stat_Phasing!$D$6:$K$11,MATCH($B25,Stat_Phasing!$B$6:$B$11,0),MATCH(N$4,Stat_Phasing!$D$5:$K$5))</f>
        <v>0</v>
      </c>
      <c r="O25" s="38">
        <f>$I25*INDEX(Stat_Phasing!$D$6:$K$11,MATCH($B25,Stat_Phasing!$B$6:$B$11,0),MATCH(O$4,Stat_Phasing!$D$5:$K$5))</f>
        <v>0</v>
      </c>
      <c r="P25" s="38">
        <f>$I25*INDEX(Stat_Phasing!$D$6:$K$11,MATCH($B25,Stat_Phasing!$B$6:$B$11,0),MATCH(P$4,Stat_Phasing!$D$5:$K$5))</f>
        <v>0</v>
      </c>
      <c r="Q25" s="38">
        <f>$I25*INDEX(Stat_Phasing!$D$6:$K$11,MATCH($B25,Stat_Phasing!$B$6:$B$11,0),MATCH(Q$4,Stat_Phasing!$D$5:$K$5))</f>
        <v>0</v>
      </c>
      <c r="R25" s="38">
        <f>$I25*INDEX(Stat_Phasing!$D$6:$K$11,MATCH($B25,Stat_Phasing!$B$6:$B$11,0),MATCH(R$4,Stat_Phasing!$D$5:$K$5))</f>
        <v>452.72442435140482</v>
      </c>
      <c r="S25" s="38">
        <f>$I25*INDEX(Stat_Phasing!$D$6:$K$11,MATCH($B25,Stat_Phasing!$B$6:$B$11,0),MATCH(S$4,Stat_Phasing!$D$5:$K$5))</f>
        <v>129.34983552897282</v>
      </c>
      <c r="T25" s="38">
        <f>$I25*INDEX(Stat_Phasing!$D$6:$K$11,MATCH($B25,Stat_Phasing!$B$6:$B$11,0),MATCH(T$4,Stat_Phasing!$D$5:$K$5))</f>
        <v>64.674917764486409</v>
      </c>
      <c r="U25" s="38">
        <f>$I25*INDEX(Stat_Phasing!$D$6:$K$11,MATCH($B25,Stat_Phasing!$B$6:$B$11,0),MATCH(U$4,Stat_Phasing!$D$5:$K$5))</f>
        <v>0</v>
      </c>
      <c r="V25" s="38"/>
      <c r="W25" s="38">
        <f>$J25*INDEX(Stat_Phasing!$D$15:$K$20,MATCH($B25,Stat_Phasing!$B$15:$B$20,0),MATCH(W$4,Stat_Phasing!$D$14:$K$14))</f>
        <v>0</v>
      </c>
      <c r="X25" s="38">
        <f>$J25*INDEX(Stat_Phasing!$D$15:$K$20,MATCH($B25,Stat_Phasing!$B$15:$B$20,0),MATCH(X$4,Stat_Phasing!$D$14:$K$14))</f>
        <v>0</v>
      </c>
      <c r="Y25" s="38">
        <f>$J25*INDEX(Stat_Phasing!$D$15:$K$20,MATCH($B25,Stat_Phasing!$B$15:$B$20,0),MATCH(Y$4,Stat_Phasing!$D$14:$K$14))</f>
        <v>0</v>
      </c>
      <c r="Z25" s="38">
        <f>$J25*INDEX(Stat_Phasing!$D$15:$K$20,MATCH($B25,Stat_Phasing!$B$15:$B$20,0),MATCH(Z$4,Stat_Phasing!$D$14:$K$14))</f>
        <v>0</v>
      </c>
      <c r="AA25" s="38">
        <f>$J25*INDEX(Stat_Phasing!$D$15:$K$20,MATCH($B25,Stat_Phasing!$B$15:$B$20,0),MATCH(AA$4,Stat_Phasing!$D$14:$K$14))</f>
        <v>31.634429945157436</v>
      </c>
      <c r="AB25" s="38">
        <f>$J25*INDEX(Stat_Phasing!$D$15:$K$20,MATCH($B25,Stat_Phasing!$B$15:$B$20,0),MATCH(AB$4,Stat_Phasing!$D$14:$K$14))</f>
        <v>158.17214972578716</v>
      </c>
      <c r="AC25" s="38">
        <f>$J25*INDEX(Stat_Phasing!$D$15:$K$20,MATCH($B25,Stat_Phasing!$B$15:$B$20,0),MATCH(AC$4,Stat_Phasing!$D$14:$K$14))</f>
        <v>126.53771978062974</v>
      </c>
      <c r="AD25" s="38">
        <f>$J25*INDEX(Stat_Phasing!$D$15:$K$20,MATCH($B25,Stat_Phasing!$B$15:$B$20,0),MATCH(AD$4,Stat_Phasing!$D$14:$K$14))</f>
        <v>0</v>
      </c>
      <c r="AE25" s="38"/>
      <c r="AF25" s="38">
        <f>$K25*INDEX(Stat_Phasing!$D$24:$K$29,MATCH($B25,Stat_Phasing!$B$24:$B$29,0),MATCH(AF$4,Stat_Phasing!$D$23:$K$23))+$L25*INDEX(Stat_Phasing!$D$33:$K$38,MATCH($B25,Stat_Phasing!$B$33:$B$38,0),MATCH(AF$4,Stat_Phasing!$D$32:$K$32))</f>
        <v>0</v>
      </c>
      <c r="AG25" s="38">
        <f>$K25*INDEX(Stat_Phasing!$D$24:$K$29,MATCH($B25,Stat_Phasing!$B$24:$B$29,0),MATCH(AG$4,Stat_Phasing!$D$23:$K$23))+$L25*INDEX(Stat_Phasing!$D$33:$K$38,MATCH($B25,Stat_Phasing!$B$33:$B$38,0),MATCH(AG$4,Stat_Phasing!$D$32:$K$32))</f>
        <v>0</v>
      </c>
      <c r="AH25" s="38">
        <f>$K25*INDEX(Stat_Phasing!$D$24:$K$29,MATCH($B25,Stat_Phasing!$B$24:$B$29,0),MATCH(AH$4,Stat_Phasing!$D$23:$K$23))+$L25*INDEX(Stat_Phasing!$D$33:$K$38,MATCH($B25,Stat_Phasing!$B$33:$B$38,0),MATCH(AH$4,Stat_Phasing!$D$32:$K$32))</f>
        <v>0</v>
      </c>
      <c r="AI25" s="38">
        <f>$K25*INDEX(Stat_Phasing!$D$24:$K$29,MATCH($B25,Stat_Phasing!$B$24:$B$29,0),MATCH(AI$4,Stat_Phasing!$D$23:$K$23))+$L25*INDEX(Stat_Phasing!$D$33:$K$38,MATCH($B25,Stat_Phasing!$B$33:$B$38,0),MATCH(AI$4,Stat_Phasing!$D$32:$K$32))</f>
        <v>0</v>
      </c>
      <c r="AJ25" s="38">
        <f>$K25*INDEX(Stat_Phasing!$D$24:$K$29,MATCH($B25,Stat_Phasing!$B$24:$B$29,0),MATCH(AJ$4,Stat_Phasing!$D$23:$K$23))+$L25*INDEX(Stat_Phasing!$D$33:$K$38,MATCH($B25,Stat_Phasing!$B$33:$B$38,0),MATCH(AJ$4,Stat_Phasing!$D$32:$K$32))</f>
        <v>169.80530973451323</v>
      </c>
      <c r="AK25" s="38">
        <f>$K25*INDEX(Stat_Phasing!$D$24:$K$29,MATCH($B25,Stat_Phasing!$B$24:$B$29,0),MATCH(AK$4,Stat_Phasing!$D$23:$K$23))+$L25*INDEX(Stat_Phasing!$D$33:$K$38,MATCH($B25,Stat_Phasing!$B$33:$B$38,0),MATCH(AK$4,Stat_Phasing!$D$32:$K$32))</f>
        <v>428.37836104199135</v>
      </c>
      <c r="AL25" s="38">
        <f>$K25*INDEX(Stat_Phasing!$D$24:$K$29,MATCH($B25,Stat_Phasing!$B$24:$B$29,0),MATCH(AL$4,Stat_Phasing!$D$23:$K$23))+$L25*INDEX(Stat_Phasing!$D$33:$K$38,MATCH($B25,Stat_Phasing!$B$33:$B$38,0),MATCH(AL$4,Stat_Phasing!$D$32:$K$32))</f>
        <v>428.37836104199135</v>
      </c>
      <c r="AM25" s="38">
        <f>$K25*INDEX(Stat_Phasing!$D$24:$K$29,MATCH($B25,Stat_Phasing!$B$24:$B$29,0),MATCH(AM$4,Stat_Phasing!$D$23:$K$23))+$L25*INDEX(Stat_Phasing!$D$33:$K$38,MATCH($B25,Stat_Phasing!$B$33:$B$38,0),MATCH(AM$4,Stat_Phasing!$D$32:$K$32))</f>
        <v>0</v>
      </c>
      <c r="AN25" s="38"/>
      <c r="AO25" s="38">
        <f>$M25*INDEX(Stat_Phasing!$D$42:$K$47,MATCH($B25,Stat_Phasing!$B$42:$B$47,0),MATCH(AO$4,Stat_Phasing!$D$41:$K$41))</f>
        <v>0</v>
      </c>
      <c r="AP25" s="38">
        <f>$M25*INDEX(Stat_Phasing!$D$42:$K$47,MATCH($B25,Stat_Phasing!$B$42:$B$47,0),MATCH(AP$4,Stat_Phasing!$D$41:$K$41))</f>
        <v>0</v>
      </c>
      <c r="AQ25" s="38">
        <f>$M25*INDEX(Stat_Phasing!$D$42:$K$47,MATCH($B25,Stat_Phasing!$B$42:$B$47,0),MATCH(AQ$4,Stat_Phasing!$D$41:$K$41))</f>
        <v>0</v>
      </c>
      <c r="AR25" s="38">
        <f>$M25*INDEX(Stat_Phasing!$D$42:$K$47,MATCH($B25,Stat_Phasing!$B$42:$B$47,0),MATCH(AR$4,Stat_Phasing!$D$41:$K$41))</f>
        <v>0</v>
      </c>
      <c r="AS25" s="38">
        <f>$M25*INDEX(Stat_Phasing!$D$42:$K$47,MATCH($B25,Stat_Phasing!$B$42:$B$47,0),MATCH(AS$4,Stat_Phasing!$D$41:$K$41))</f>
        <v>0</v>
      </c>
      <c r="AT25" s="38">
        <f>$M25*INDEX(Stat_Phasing!$D$42:$K$47,MATCH($B25,Stat_Phasing!$B$42:$B$47,0),MATCH(AT$4,Stat_Phasing!$D$41:$K$41))</f>
        <v>121.03053416220347</v>
      </c>
      <c r="AU25" s="38">
        <f>$M25*INDEX(Stat_Phasing!$D$42:$K$47,MATCH($B25,Stat_Phasing!$B$42:$B$47,0),MATCH(AU$4,Stat_Phasing!$D$41:$K$41))</f>
        <v>121.03053416220347</v>
      </c>
      <c r="AV25" s="38">
        <f>$M25*INDEX(Stat_Phasing!$D$42:$K$47,MATCH($B25,Stat_Phasing!$B$42:$B$47,0),MATCH(AV$4,Stat_Phasing!$D$41:$K$41))</f>
        <v>0</v>
      </c>
      <c r="AW25" s="6"/>
      <c r="AX25" s="6">
        <f t="shared" si="12"/>
        <v>0</v>
      </c>
      <c r="AY25" s="6">
        <f t="shared" si="13"/>
        <v>0</v>
      </c>
      <c r="AZ25" s="6">
        <f t="shared" si="14"/>
        <v>0</v>
      </c>
      <c r="BA25" s="6">
        <f t="shared" si="15"/>
        <v>0</v>
      </c>
      <c r="BB25" s="6">
        <f t="shared" si="16"/>
        <v>654.16416403107542</v>
      </c>
      <c r="BC25" s="6">
        <f t="shared" si="1"/>
        <v>836.9308804589549</v>
      </c>
      <c r="BD25" s="6">
        <f t="shared" si="2"/>
        <v>740.62153274931097</v>
      </c>
      <c r="BE25" s="6">
        <f t="shared" si="3"/>
        <v>0</v>
      </c>
      <c r="BG25" s="14">
        <f t="shared" si="4"/>
        <v>2231.7165772393414</v>
      </c>
      <c r="BH25" s="38">
        <f t="shared" si="6"/>
        <v>0</v>
      </c>
      <c r="BI25" s="471"/>
      <c r="BJ25" s="38">
        <f t="shared" si="7"/>
        <v>452.72442435140482</v>
      </c>
      <c r="BK25" s="38">
        <f t="shared" si="8"/>
        <v>31.634429945157436</v>
      </c>
      <c r="BL25" s="38">
        <f t="shared" si="9"/>
        <v>169.80530973451323</v>
      </c>
      <c r="BM25" s="38">
        <f t="shared" si="10"/>
        <v>0</v>
      </c>
      <c r="BN25" s="38">
        <f t="shared" si="11"/>
        <v>0</v>
      </c>
      <c r="BO25" s="38"/>
      <c r="BP25" s="38"/>
      <c r="BQ25" s="38"/>
      <c r="BR25" s="38"/>
    </row>
    <row r="26" spans="2:75" ht="14.45" customHeight="1" x14ac:dyDescent="0.25">
      <c r="B26" s="164" t="str">
        <f>STN_9</f>
        <v>KLO2</v>
      </c>
      <c r="C26" s="17">
        <f>INDEX(Schedule!$C$4:$E$9,MATCH($B26,Schedule!$B$4:$B$9,0),1)</f>
        <v>43862</v>
      </c>
      <c r="D26" s="17">
        <f>INDEX(Schedule!$C$4:$E$9,MATCH($B26,Schedule!$B$4:$B$9,0),2)</f>
        <v>44197</v>
      </c>
      <c r="E26" s="17">
        <f>INDEX(Schedule!$C$4:$E$9,MATCH($B26,Schedule!$B$4:$B$9,0),3)</f>
        <v>44896</v>
      </c>
      <c r="F26" s="676" t="s">
        <v>83</v>
      </c>
      <c r="G26" s="676" t="s">
        <v>211</v>
      </c>
      <c r="H26" s="676" t="str">
        <f>G26&amp;F26</f>
        <v>LandNon-Network</v>
      </c>
      <c r="I26" s="365">
        <f>New_KLO2!F17</f>
        <v>0</v>
      </c>
      <c r="J26" s="365">
        <f>New_KLO2!G17</f>
        <v>0</v>
      </c>
      <c r="K26" s="365">
        <f>New_KLO2!H17</f>
        <v>0</v>
      </c>
      <c r="L26" s="365">
        <f>New_KLO2!I17</f>
        <v>1886.7256637168136</v>
      </c>
      <c r="M26" s="365">
        <f>New_KLO2!J17</f>
        <v>0</v>
      </c>
      <c r="N26" s="38">
        <f>$I26*INDEX(Stat_Phasing!$D$6:$K$11,MATCH($B26,Stat_Phasing!$B$6:$B$11,0),MATCH(N$4,Stat_Phasing!$D$5:$K$5))</f>
        <v>0</v>
      </c>
      <c r="O26" s="38">
        <f>$I26*INDEX(Stat_Phasing!$D$6:$K$11,MATCH($B26,Stat_Phasing!$B$6:$B$11,0),MATCH(O$4,Stat_Phasing!$D$5:$K$5))</f>
        <v>0</v>
      </c>
      <c r="P26" s="38">
        <f>$I26*INDEX(Stat_Phasing!$D$6:$K$11,MATCH($B26,Stat_Phasing!$B$6:$B$11,0),MATCH(P$4,Stat_Phasing!$D$5:$K$5))</f>
        <v>0</v>
      </c>
      <c r="Q26" s="38">
        <f>$I26*INDEX(Stat_Phasing!$D$6:$K$11,MATCH($B26,Stat_Phasing!$B$6:$B$11,0),MATCH(Q$4,Stat_Phasing!$D$5:$K$5))</f>
        <v>0</v>
      </c>
      <c r="R26" s="38">
        <f>$I26*INDEX(Stat_Phasing!$D$6:$K$11,MATCH($B26,Stat_Phasing!$B$6:$B$11,0),MATCH(R$4,Stat_Phasing!$D$5:$K$5))</f>
        <v>0</v>
      </c>
      <c r="S26" s="38">
        <f>$I26*INDEX(Stat_Phasing!$D$6:$K$11,MATCH($B26,Stat_Phasing!$B$6:$B$11,0),MATCH(S$4,Stat_Phasing!$D$5:$K$5))</f>
        <v>0</v>
      </c>
      <c r="T26" s="38">
        <f>$I26*INDEX(Stat_Phasing!$D$6:$K$11,MATCH($B26,Stat_Phasing!$B$6:$B$11,0),MATCH(T$4,Stat_Phasing!$D$5:$K$5))</f>
        <v>0</v>
      </c>
      <c r="U26" s="38">
        <f>$I26*INDEX(Stat_Phasing!$D$6:$K$11,MATCH($B26,Stat_Phasing!$B$6:$B$11,0),MATCH(U$4,Stat_Phasing!$D$5:$K$5))</f>
        <v>0</v>
      </c>
      <c r="V26" s="38"/>
      <c r="W26" s="38">
        <f>$J26*INDEX(Stat_Phasing!$D$15:$K$20,MATCH($B26,Stat_Phasing!$B$15:$B$20,0),MATCH(W$4,Stat_Phasing!$D$14:$K$14))</f>
        <v>0</v>
      </c>
      <c r="X26" s="38">
        <f>$J26*INDEX(Stat_Phasing!$D$15:$K$20,MATCH($B26,Stat_Phasing!$B$15:$B$20,0),MATCH(X$4,Stat_Phasing!$D$14:$K$14))</f>
        <v>0</v>
      </c>
      <c r="Y26" s="38">
        <f>$J26*INDEX(Stat_Phasing!$D$15:$K$20,MATCH($B26,Stat_Phasing!$B$15:$B$20,0),MATCH(Y$4,Stat_Phasing!$D$14:$K$14))</f>
        <v>0</v>
      </c>
      <c r="Z26" s="38">
        <f>$J26*INDEX(Stat_Phasing!$D$15:$K$20,MATCH($B26,Stat_Phasing!$B$15:$B$20,0),MATCH(Z$4,Stat_Phasing!$D$14:$K$14))</f>
        <v>0</v>
      </c>
      <c r="AA26" s="38">
        <f>$J26*INDEX(Stat_Phasing!$D$15:$K$20,MATCH($B26,Stat_Phasing!$B$15:$B$20,0),MATCH(AA$4,Stat_Phasing!$D$14:$K$14))</f>
        <v>0</v>
      </c>
      <c r="AB26" s="38">
        <f>$J26*INDEX(Stat_Phasing!$D$15:$K$20,MATCH($B26,Stat_Phasing!$B$15:$B$20,0),MATCH(AB$4,Stat_Phasing!$D$14:$K$14))</f>
        <v>0</v>
      </c>
      <c r="AC26" s="38">
        <f>$J26*INDEX(Stat_Phasing!$D$15:$K$20,MATCH($B26,Stat_Phasing!$B$15:$B$20,0),MATCH(AC$4,Stat_Phasing!$D$14:$K$14))</f>
        <v>0</v>
      </c>
      <c r="AD26" s="38">
        <f>$J26*INDEX(Stat_Phasing!$D$15:$K$20,MATCH($B26,Stat_Phasing!$B$15:$B$20,0),MATCH(AD$4,Stat_Phasing!$D$14:$K$14))</f>
        <v>0</v>
      </c>
      <c r="AE26" s="38"/>
      <c r="AF26" s="38">
        <f>$K26*INDEX(Stat_Phasing!$D$24:$K$29,MATCH($B26,Stat_Phasing!$B$24:$B$29,0),MATCH(AF$4,Stat_Phasing!$D$23:$K$23))+$L26*INDEX(Stat_Phasing!$D$51:$K$56,MATCH($B26,Stat_Phasing!$B$51:$B$56,0),MATCH(AF$4,Stat_Phasing!$D$50:$K$50))</f>
        <v>0</v>
      </c>
      <c r="AG26" s="38">
        <f>$K26*INDEX(Stat_Phasing!$D$24:$K$29,MATCH($B26,Stat_Phasing!$B$24:$B$29,0),MATCH(AG$4,Stat_Phasing!$D$23:$K$23))+$L26*INDEX(Stat_Phasing!$D$51:$K$56,MATCH($B26,Stat_Phasing!$B$51:$B$56,0),MATCH(AG$4,Stat_Phasing!$D$50:$K$50))</f>
        <v>0</v>
      </c>
      <c r="AH26" s="38">
        <f>$K26*INDEX(Stat_Phasing!$D$24:$K$29,MATCH($B26,Stat_Phasing!$B$24:$B$29,0),MATCH(AH$4,Stat_Phasing!$D$23:$K$23))+$L26*INDEX(Stat_Phasing!$D$51:$K$56,MATCH($B26,Stat_Phasing!$B$51:$B$56,0),MATCH(AH$4,Stat_Phasing!$D$50:$K$50))</f>
        <v>0</v>
      </c>
      <c r="AI26" s="38">
        <f>$K26*INDEX(Stat_Phasing!$D$24:$K$29,MATCH($B26,Stat_Phasing!$B$24:$B$29,0),MATCH(AI$4,Stat_Phasing!$D$23:$K$23))+$L26*INDEX(Stat_Phasing!$D$51:$K$56,MATCH($B26,Stat_Phasing!$B$51:$B$56,0),MATCH(AI$4,Stat_Phasing!$D$50:$K$50))</f>
        <v>0</v>
      </c>
      <c r="AJ26" s="38">
        <f>$K26*INDEX(Stat_Phasing!$D$24:$K$29,MATCH($B26,Stat_Phasing!$B$24:$B$29,0),MATCH(AJ$4,Stat_Phasing!$D$23:$K$23))+$L26*INDEX(Stat_Phasing!$D$51:$K$56,MATCH($B26,Stat_Phasing!$B$51:$B$56,0),MATCH(AJ$4,Stat_Phasing!$D$50:$K$50))</f>
        <v>1886.7256637168136</v>
      </c>
      <c r="AK26" s="38">
        <f>$K26*INDEX(Stat_Phasing!$D$24:$K$29,MATCH($B26,Stat_Phasing!$B$24:$B$29,0),MATCH(AK$4,Stat_Phasing!$D$23:$K$23))+$L26*INDEX(Stat_Phasing!$D$51:$K$56,MATCH($B26,Stat_Phasing!$B$51:$B$56,0),MATCH(AK$4,Stat_Phasing!$D$50:$K$50))</f>
        <v>0</v>
      </c>
      <c r="AL26" s="38">
        <f>$K26*INDEX(Stat_Phasing!$D$24:$K$29,MATCH($B26,Stat_Phasing!$B$24:$B$29,0),MATCH(AL$4,Stat_Phasing!$D$23:$K$23))+$L26*INDEX(Stat_Phasing!$D$51:$K$56,MATCH($B26,Stat_Phasing!$B$51:$B$56,0),MATCH(AL$4,Stat_Phasing!$D$50:$K$50))</f>
        <v>0</v>
      </c>
      <c r="AM26" s="38">
        <f>$K26*INDEX(Stat_Phasing!$D$24:$K$29,MATCH($B26,Stat_Phasing!$B$24:$B$29,0),MATCH(AM$4,Stat_Phasing!$D$23:$K$23))+$L26*INDEX(Stat_Phasing!$D$51:$K$56,MATCH($B26,Stat_Phasing!$B$51:$B$56,0),MATCH(AM$4,Stat_Phasing!$D$50:$K$50))</f>
        <v>0</v>
      </c>
      <c r="AN26" s="38"/>
      <c r="AO26" s="38">
        <f>$M26*INDEX(Stat_Phasing!$D$42:$K$47,MATCH($B26,Stat_Phasing!$B$42:$B$47,0),MATCH(AO$4,Stat_Phasing!$D$41:$K$41))</f>
        <v>0</v>
      </c>
      <c r="AP26" s="38">
        <f>$M26*INDEX(Stat_Phasing!$D$42:$K$47,MATCH($B26,Stat_Phasing!$B$42:$B$47,0),MATCH(AP$4,Stat_Phasing!$D$41:$K$41))</f>
        <v>0</v>
      </c>
      <c r="AQ26" s="38">
        <f>$M26*INDEX(Stat_Phasing!$D$42:$K$47,MATCH($B26,Stat_Phasing!$B$42:$B$47,0),MATCH(AQ$4,Stat_Phasing!$D$41:$K$41))</f>
        <v>0</v>
      </c>
      <c r="AR26" s="38">
        <f>$M26*INDEX(Stat_Phasing!$D$42:$K$47,MATCH($B26,Stat_Phasing!$B$42:$B$47,0),MATCH(AR$4,Stat_Phasing!$D$41:$K$41))</f>
        <v>0</v>
      </c>
      <c r="AS26" s="38">
        <f>$M26*INDEX(Stat_Phasing!$D$42:$K$47,MATCH($B26,Stat_Phasing!$B$42:$B$47,0),MATCH(AS$4,Stat_Phasing!$D$41:$K$41))</f>
        <v>0</v>
      </c>
      <c r="AT26" s="38">
        <f>$M26*INDEX(Stat_Phasing!$D$42:$K$47,MATCH($B26,Stat_Phasing!$B$42:$B$47,0),MATCH(AT$4,Stat_Phasing!$D$41:$K$41))</f>
        <v>0</v>
      </c>
      <c r="AU26" s="38">
        <f>$M26*INDEX(Stat_Phasing!$D$42:$K$47,MATCH($B26,Stat_Phasing!$B$42:$B$47,0),MATCH(AU$4,Stat_Phasing!$D$41:$K$41))</f>
        <v>0</v>
      </c>
      <c r="AV26" s="38">
        <f>$M26*INDEX(Stat_Phasing!$D$42:$K$47,MATCH($B26,Stat_Phasing!$B$42:$B$47,0),MATCH(AV$4,Stat_Phasing!$D$41:$K$41))</f>
        <v>0</v>
      </c>
      <c r="AW26" s="6"/>
      <c r="AX26" s="6">
        <f t="shared" si="12"/>
        <v>0</v>
      </c>
      <c r="AY26" s="6">
        <f t="shared" si="13"/>
        <v>0</v>
      </c>
      <c r="AZ26" s="6">
        <f t="shared" si="14"/>
        <v>0</v>
      </c>
      <c r="BA26" s="6">
        <f t="shared" si="15"/>
        <v>0</v>
      </c>
      <c r="BB26" s="6">
        <f t="shared" si="16"/>
        <v>1886.7256637168136</v>
      </c>
      <c r="BC26" s="6">
        <f t="shared" si="1"/>
        <v>0</v>
      </c>
      <c r="BD26" s="6">
        <f t="shared" si="2"/>
        <v>0</v>
      </c>
      <c r="BE26" s="6">
        <f t="shared" si="3"/>
        <v>0</v>
      </c>
      <c r="BG26" s="14">
        <f t="shared" si="4"/>
        <v>1886.7256637168136</v>
      </c>
      <c r="BH26" s="38">
        <f t="shared" si="6"/>
        <v>0</v>
      </c>
      <c r="BJ26" s="38">
        <f t="shared" si="7"/>
        <v>0</v>
      </c>
      <c r="BK26" s="38">
        <f t="shared" si="8"/>
        <v>0</v>
      </c>
      <c r="BL26" s="38">
        <f t="shared" si="9"/>
        <v>0</v>
      </c>
      <c r="BM26" s="38">
        <f t="shared" si="10"/>
        <v>1886.7256637168136</v>
      </c>
      <c r="BN26" s="38">
        <f t="shared" si="11"/>
        <v>0</v>
      </c>
      <c r="BO26" s="38"/>
      <c r="BP26" s="38"/>
      <c r="BQ26" s="38"/>
      <c r="BR26" s="38"/>
    </row>
    <row r="27" spans="2:75" ht="14.45" customHeight="1" x14ac:dyDescent="0.25">
      <c r="B27" s="164"/>
      <c r="E27" s="8"/>
      <c r="F27" s="676"/>
      <c r="G27" s="676"/>
      <c r="H27" s="676"/>
      <c r="I27" s="365"/>
      <c r="J27" s="365"/>
      <c r="K27" s="365"/>
      <c r="L27" s="365"/>
      <c r="M27" s="365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6"/>
      <c r="AX27" s="6"/>
      <c r="AY27" s="6"/>
      <c r="AZ27" s="6"/>
      <c r="BA27" s="6"/>
      <c r="BB27" s="6"/>
      <c r="BC27" s="6"/>
      <c r="BD27" s="6"/>
      <c r="BE27" s="6"/>
      <c r="BG27" s="14"/>
      <c r="BH27" s="38"/>
      <c r="BJ27" s="46"/>
      <c r="BK27" s="191"/>
      <c r="BL27" s="191"/>
      <c r="BM27" s="372"/>
      <c r="BN27" s="372"/>
      <c r="BO27" s="372"/>
      <c r="BP27" s="372"/>
    </row>
    <row r="28" spans="2:75" ht="14.45" customHeight="1" x14ac:dyDescent="0.25">
      <c r="B28" s="25" t="s">
        <v>17</v>
      </c>
      <c r="E28" s="8"/>
      <c r="F28" s="677"/>
      <c r="G28" s="677"/>
      <c r="H28" s="677"/>
      <c r="I28" s="8"/>
      <c r="J28" s="8"/>
      <c r="K28" s="8"/>
      <c r="L28" s="8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6"/>
      <c r="AW28" s="6"/>
      <c r="AX28" s="6"/>
      <c r="AY28" s="6"/>
      <c r="AZ28" s="6"/>
      <c r="BA28" s="6"/>
      <c r="BB28" s="6"/>
      <c r="BC28" s="6"/>
      <c r="BD28" s="6"/>
      <c r="BE28" s="6"/>
      <c r="BJ28" s="482" t="s">
        <v>151</v>
      </c>
      <c r="BK28" s="493" t="s">
        <v>63</v>
      </c>
      <c r="BL28" s="493" t="s">
        <v>7</v>
      </c>
      <c r="BM28" s="650" t="s">
        <v>380</v>
      </c>
      <c r="BN28" s="650" t="s">
        <v>77</v>
      </c>
      <c r="BO28" s="372"/>
      <c r="BP28" s="372"/>
    </row>
    <row r="29" spans="2:75" ht="14.45" customHeight="1" x14ac:dyDescent="0.25">
      <c r="B29" s="164" t="str">
        <f>STN_1</f>
        <v>BN</v>
      </c>
      <c r="C29" s="17">
        <f>INDEX(Schedule!$C$12:$E$17,MATCH($B29,Schedule!$B$12:$B$17,0),1)</f>
        <v>43692</v>
      </c>
      <c r="D29" s="17">
        <f>INDEX(Schedule!$C$12:$E$17,MATCH($B29,Schedule!$B$12:$B$17,0),2)</f>
        <v>44105</v>
      </c>
      <c r="E29" s="17">
        <f>INDEX(Schedule!$C$12:$E$17,MATCH($B29,Schedule!$B$12:$B$17,0),3)</f>
        <v>44715</v>
      </c>
      <c r="F29" s="677" t="s">
        <v>42</v>
      </c>
      <c r="G29" s="677" t="s">
        <v>19</v>
      </c>
      <c r="H29" s="676" t="str">
        <f t="shared" ref="H29:H40" si="17">G29&amp;F29</f>
        <v>Distribution system assetsAugmentation</v>
      </c>
      <c r="I29" s="38">
        <f>BN_Det!K120</f>
        <v>1013.5891613196007</v>
      </c>
      <c r="J29" s="38">
        <f>BN_Det!L120</f>
        <v>320.05342587489218</v>
      </c>
      <c r="K29" s="38">
        <f>BN_Det!M120</f>
        <v>168.69832364219869</v>
      </c>
      <c r="L29" s="38">
        <f>BN_Det!N120</f>
        <v>2121.634090136351</v>
      </c>
      <c r="M29" s="38">
        <f>BN_Det!O120</f>
        <v>167.67953423688482</v>
      </c>
      <c r="N29" s="38"/>
      <c r="O29" s="6"/>
      <c r="Q29" s="46"/>
      <c r="R29" s="38">
        <f t="shared" ref="R29:R34" si="18">I29</f>
        <v>1013.5891613196007</v>
      </c>
      <c r="S29" s="6"/>
      <c r="T29" s="6"/>
      <c r="U29" s="6"/>
      <c r="V29" s="6"/>
      <c r="W29" s="6"/>
      <c r="X29" s="38"/>
      <c r="Y29" s="38"/>
      <c r="Z29" s="191">
        <f t="shared" ref="Z29:Z34" si="19">$J29*0.1</f>
        <v>32.005342587489217</v>
      </c>
      <c r="AA29" s="191">
        <f t="shared" ref="AA29:AC34" si="20">$J29*0.3</f>
        <v>96.016027762467658</v>
      </c>
      <c r="AB29" s="191">
        <f t="shared" si="20"/>
        <v>96.016027762467658</v>
      </c>
      <c r="AC29" s="191">
        <f t="shared" si="20"/>
        <v>96.016027762467658</v>
      </c>
      <c r="AD29" s="6"/>
      <c r="AE29" s="6"/>
      <c r="AF29" s="6"/>
      <c r="AG29" s="6"/>
      <c r="AI29" s="191">
        <f t="shared" ref="AI29:AI34" si="21">$K29*0.2</f>
        <v>33.739664728439742</v>
      </c>
      <c r="AJ29" s="191">
        <f>K29*0.8+$L29*0.1</f>
        <v>347.12206792739408</v>
      </c>
      <c r="AK29" s="191">
        <f t="shared" ref="AK29:AK34" si="22">$L29*0.5</f>
        <v>1060.8170450681755</v>
      </c>
      <c r="AL29" s="191">
        <f>$L29*0.4</f>
        <v>848.65363605454047</v>
      </c>
      <c r="AM29" s="38"/>
      <c r="AN29" s="38"/>
      <c r="AO29" s="38"/>
      <c r="AP29" s="38"/>
      <c r="AQ29" s="38"/>
      <c r="AR29" s="46"/>
      <c r="AS29" s="38">
        <f>$M29*0.1</f>
        <v>16.767953423688482</v>
      </c>
      <c r="AT29" s="38">
        <f t="shared" ref="AT29:AT34" si="23">$M29*0.5</f>
        <v>83.83976711844241</v>
      </c>
      <c r="AU29" s="38">
        <f>$M29*0.4</f>
        <v>67.071813694753928</v>
      </c>
      <c r="AV29" s="6"/>
      <c r="AW29" s="6"/>
      <c r="AX29" s="6">
        <f t="shared" ref="AX29:AX40" si="24">N29+W29+AF29+AO29</f>
        <v>0</v>
      </c>
      <c r="AY29" s="6">
        <f t="shared" ref="AY29:AY40" si="25">O29+X29+AG29+AP29</f>
        <v>0</v>
      </c>
      <c r="AZ29" s="6">
        <f t="shared" ref="AZ29:AZ40" si="26">P29+Y29+AH29+AQ29</f>
        <v>0</v>
      </c>
      <c r="BA29" s="6">
        <f t="shared" ref="BA29:BA40" si="27">Q29+Z29+AI29+AR29</f>
        <v>65.745007315928959</v>
      </c>
      <c r="BB29" s="6">
        <f t="shared" ref="BB29:BB40" si="28">R29+AA29+AJ29+AS29</f>
        <v>1473.495210433151</v>
      </c>
      <c r="BC29" s="6">
        <f>SUM(S29,AB29,AK29,AT29)</f>
        <v>1240.6728399490858</v>
      </c>
      <c r="BD29" s="6">
        <f>SUM(T29,AC29,AL29,AU29)</f>
        <v>1011.741477511762</v>
      </c>
      <c r="BE29" s="6">
        <f>SUM(U29,AD29,AM29,AV29)</f>
        <v>0</v>
      </c>
      <c r="BG29" s="191">
        <f t="shared" ref="BG29:BG40" si="29">SUM(AX29:BE29)</f>
        <v>3791.6545352099274</v>
      </c>
      <c r="BH29" s="324">
        <f>BG29-BN_Det!P120</f>
        <v>0</v>
      </c>
      <c r="BJ29" s="38">
        <f>SUMIFS($N29:$U29,$N$4:$U$4,"&lt;=2020")</f>
        <v>1013.5891613196007</v>
      </c>
      <c r="BK29" s="38">
        <f>SUMIFS($W29:$AD29,$W$4:$AD$4,"&lt;=2020")</f>
        <v>128.02137034995687</v>
      </c>
      <c r="BL29" s="38">
        <f>SUMIFS($K29,$C29,"&lt;=31/12/2020")</f>
        <v>168.69832364219869</v>
      </c>
      <c r="BM29" s="38">
        <f>SUMIFS($AF29:$AM29,$AF$4:$AM$4,"&lt;=2020")-BL29</f>
        <v>212.16340901363512</v>
      </c>
      <c r="BN29" s="38">
        <f>SUMIFS($AO29:$AV29,$AO$4:$AV$4,"&lt;=2020")</f>
        <v>16.767953423688482</v>
      </c>
      <c r="BO29" s="372"/>
      <c r="BP29" s="372"/>
    </row>
    <row r="30" spans="2:75" ht="14.45" customHeight="1" x14ac:dyDescent="0.25">
      <c r="B30" s="164" t="str">
        <f>STN_1</f>
        <v>BN</v>
      </c>
      <c r="C30" s="17">
        <f>INDEX(Schedule!$C$12:$E$17,MATCH($B30,Schedule!$B$12:$B$17,0),1)</f>
        <v>43692</v>
      </c>
      <c r="D30" s="17">
        <f>INDEX(Schedule!$C$12:$E$17,MATCH($B30,Schedule!$B$12:$B$17,0),2)</f>
        <v>44105</v>
      </c>
      <c r="E30" s="17">
        <f>INDEX(Schedule!$C$12:$E$17,MATCH($B30,Schedule!$B$12:$B$17,0),3)</f>
        <v>44715</v>
      </c>
      <c r="F30" s="677" t="s">
        <v>44</v>
      </c>
      <c r="G30" s="677" t="s">
        <v>19</v>
      </c>
      <c r="H30" s="676" t="str">
        <f t="shared" si="17"/>
        <v>Distribution system assetsReplacement</v>
      </c>
      <c r="I30" s="38">
        <f>BN_Det!K121</f>
        <v>0</v>
      </c>
      <c r="J30" s="38">
        <f>BN_Det!L121</f>
        <v>4.5608911752047305</v>
      </c>
      <c r="K30" s="38">
        <f>BN_Det!M121</f>
        <v>0</v>
      </c>
      <c r="L30" s="38">
        <f>BN_Det!N121</f>
        <v>104.48244801860463</v>
      </c>
      <c r="M30" s="38">
        <f>BN_Det!O121</f>
        <v>0</v>
      </c>
      <c r="N30" s="38"/>
      <c r="O30" s="6"/>
      <c r="Q30" s="46"/>
      <c r="R30" s="38">
        <f t="shared" si="18"/>
        <v>0</v>
      </c>
      <c r="S30" s="6"/>
      <c r="T30" s="38"/>
      <c r="U30" s="38"/>
      <c r="V30" s="6"/>
      <c r="W30" s="6"/>
      <c r="X30" s="38"/>
      <c r="Y30" s="38"/>
      <c r="Z30" s="191">
        <f t="shared" si="19"/>
        <v>0.4560891175204731</v>
      </c>
      <c r="AA30" s="191">
        <f t="shared" si="20"/>
        <v>1.3682673525614191</v>
      </c>
      <c r="AB30" s="191">
        <f t="shared" si="20"/>
        <v>1.3682673525614191</v>
      </c>
      <c r="AC30" s="191">
        <f t="shared" si="20"/>
        <v>1.3682673525614191</v>
      </c>
      <c r="AD30" s="6"/>
      <c r="AE30" s="6"/>
      <c r="AF30" s="6"/>
      <c r="AG30" s="6"/>
      <c r="AI30" s="191">
        <f t="shared" si="21"/>
        <v>0</v>
      </c>
      <c r="AJ30" s="191">
        <f>K30*0.8+$L30*0.1</f>
        <v>10.448244801860463</v>
      </c>
      <c r="AK30" s="191">
        <f t="shared" si="22"/>
        <v>52.241224009302314</v>
      </c>
      <c r="AL30" s="191">
        <f>$L30*0.4</f>
        <v>41.792979207441853</v>
      </c>
      <c r="AM30" s="38"/>
      <c r="AN30" s="38"/>
      <c r="AO30" s="38"/>
      <c r="AP30" s="38"/>
      <c r="AQ30" s="38"/>
      <c r="AR30" s="46"/>
      <c r="AS30" s="38">
        <f>$M30*0.1</f>
        <v>0</v>
      </c>
      <c r="AT30" s="38">
        <f t="shared" si="23"/>
        <v>0</v>
      </c>
      <c r="AU30" s="38">
        <f>$M30*0.4</f>
        <v>0</v>
      </c>
      <c r="AV30" s="6"/>
      <c r="AW30" s="6"/>
      <c r="AX30" s="6">
        <f t="shared" si="24"/>
        <v>0</v>
      </c>
      <c r="AY30" s="6">
        <f t="shared" si="25"/>
        <v>0</v>
      </c>
      <c r="AZ30" s="6">
        <f t="shared" si="26"/>
        <v>0</v>
      </c>
      <c r="BA30" s="6">
        <f t="shared" si="27"/>
        <v>0.4560891175204731</v>
      </c>
      <c r="BB30" s="6">
        <f t="shared" si="28"/>
        <v>11.816512154421883</v>
      </c>
      <c r="BC30" s="6">
        <f t="shared" ref="BC30:BC40" si="30">SUM(S30,AB30,AK30,AT30)</f>
        <v>53.609491361863732</v>
      </c>
      <c r="BD30" s="6">
        <f t="shared" ref="BD30:BD40" si="31">SUM(T30,AC30,AL30,AU30)</f>
        <v>43.161246560003271</v>
      </c>
      <c r="BE30" s="6">
        <f t="shared" ref="BE30:BE40" si="32">SUM(U30,AD30,AM30,AV30)</f>
        <v>0</v>
      </c>
      <c r="BG30" s="191">
        <f t="shared" si="29"/>
        <v>109.04333919380935</v>
      </c>
      <c r="BH30" s="324">
        <f>BG30-BN_Det!P121</f>
        <v>0</v>
      </c>
      <c r="BJ30" s="38">
        <f t="shared" ref="BJ30:BJ40" si="33">SUMIFS($N30:$U30,$N$4:$U$4,"&lt;=2020")</f>
        <v>0</v>
      </c>
      <c r="BK30" s="38">
        <f t="shared" ref="BK30:BK40" si="34">SUMIFS($W30:$AD30,$W$4:$AD$4,"&lt;=2020")</f>
        <v>1.8243564700818922</v>
      </c>
      <c r="BL30" s="38">
        <f t="shared" ref="BL30:BL40" si="35">SUMIFS($K30,$C30,"&lt;=31/12/2020")</f>
        <v>0</v>
      </c>
      <c r="BM30" s="38">
        <f t="shared" ref="BM30:BM40" si="36">SUMIFS($AF30:$AM30,$AF$4:$AM$4,"&lt;=2020")-BL30</f>
        <v>10.448244801860463</v>
      </c>
      <c r="BN30" s="38">
        <f t="shared" ref="BN30:BN40" si="37">SUMIFS($AO30:$AV30,$AO$4:$AV$4,"&lt;=2020")</f>
        <v>0</v>
      </c>
      <c r="BO30" s="372"/>
      <c r="BP30" s="372"/>
    </row>
    <row r="31" spans="2:75" ht="14.45" customHeight="1" x14ac:dyDescent="0.25">
      <c r="B31" s="164" t="str">
        <f>STN_2</f>
        <v>KLO</v>
      </c>
      <c r="C31" s="17">
        <f>INDEX(Schedule!$C$12:$E$17,MATCH($B31,Schedule!$B$12:$B$17,0),1)</f>
        <v>43692</v>
      </c>
      <c r="D31" s="17">
        <f>INDEX(Schedule!$C$12:$E$17,MATCH($B31,Schedule!$B$12:$B$17,0),2)</f>
        <v>44197</v>
      </c>
      <c r="E31" s="17">
        <f>INDEX(Schedule!$C$12:$E$17,MATCH($B31,Schedule!$B$12:$B$17,0),3)</f>
        <v>44896</v>
      </c>
      <c r="F31" s="677" t="s">
        <v>42</v>
      </c>
      <c r="G31" s="677" t="s">
        <v>19</v>
      </c>
      <c r="H31" s="676" t="str">
        <f t="shared" si="17"/>
        <v>Distribution system assetsAugmentation</v>
      </c>
      <c r="I31" s="365">
        <f>KLO_Det!K121</f>
        <v>362.12506083556286</v>
      </c>
      <c r="J31" s="365">
        <f>KLO_Det!L121</f>
        <v>141.80336966954593</v>
      </c>
      <c r="K31" s="365">
        <f>KLO_Det!M121</f>
        <v>98.136463072131306</v>
      </c>
      <c r="L31" s="365">
        <f>KLO_Det!N121</f>
        <v>762.54107641781923</v>
      </c>
      <c r="M31" s="365">
        <f>KLO_Det!O121</f>
        <v>57.451511300123101</v>
      </c>
      <c r="N31" s="38"/>
      <c r="O31" s="6"/>
      <c r="Q31" s="46"/>
      <c r="R31" s="38">
        <f t="shared" si="18"/>
        <v>362.12506083556286</v>
      </c>
      <c r="S31" s="6"/>
      <c r="T31" s="6"/>
      <c r="U31" s="6"/>
      <c r="V31" s="6"/>
      <c r="W31" s="6"/>
      <c r="X31" s="38"/>
      <c r="Y31" s="38"/>
      <c r="Z31" s="191">
        <f t="shared" si="19"/>
        <v>14.180336966954593</v>
      </c>
      <c r="AA31" s="191">
        <f t="shared" si="20"/>
        <v>42.541010900863775</v>
      </c>
      <c r="AB31" s="191">
        <f t="shared" si="20"/>
        <v>42.541010900863775</v>
      </c>
      <c r="AC31" s="191">
        <f t="shared" si="20"/>
        <v>42.541010900863775</v>
      </c>
      <c r="AD31" s="6"/>
      <c r="AE31" s="6"/>
      <c r="AF31" s="6"/>
      <c r="AG31" s="6"/>
      <c r="AI31" s="191">
        <f t="shared" si="21"/>
        <v>19.627292614426263</v>
      </c>
      <c r="AJ31" s="191">
        <f>$K31*0.8</f>
        <v>78.509170457705054</v>
      </c>
      <c r="AK31" s="191">
        <f t="shared" si="22"/>
        <v>381.27053820890961</v>
      </c>
      <c r="AL31" s="191">
        <f>$L31*0.5</f>
        <v>381.27053820890961</v>
      </c>
      <c r="AM31" s="38"/>
      <c r="AN31" s="38"/>
      <c r="AO31" s="38"/>
      <c r="AP31" s="38"/>
      <c r="AQ31" s="38"/>
      <c r="AR31" s="46"/>
      <c r="AS31" s="46"/>
      <c r="AT31" s="38">
        <f t="shared" si="23"/>
        <v>28.725755650061551</v>
      </c>
      <c r="AU31" s="38">
        <f>$M31*0.5</f>
        <v>28.725755650061551</v>
      </c>
      <c r="AV31" s="6"/>
      <c r="AW31" s="6"/>
      <c r="AX31" s="6">
        <f t="shared" si="24"/>
        <v>0</v>
      </c>
      <c r="AY31" s="6">
        <f t="shared" si="25"/>
        <v>0</v>
      </c>
      <c r="AZ31" s="6">
        <f t="shared" si="26"/>
        <v>0</v>
      </c>
      <c r="BA31" s="6">
        <f t="shared" si="27"/>
        <v>33.807629581380858</v>
      </c>
      <c r="BB31" s="6">
        <f t="shared" si="28"/>
        <v>483.17524219413173</v>
      </c>
      <c r="BC31" s="6">
        <f t="shared" si="30"/>
        <v>452.53730475983497</v>
      </c>
      <c r="BD31" s="6">
        <f t="shared" si="31"/>
        <v>452.53730475983497</v>
      </c>
      <c r="BE31" s="6">
        <f t="shared" si="32"/>
        <v>0</v>
      </c>
      <c r="BG31" s="14">
        <f t="shared" si="29"/>
        <v>1422.0574812951825</v>
      </c>
      <c r="BH31" s="11">
        <f>BG31-KLO_Det!P121</f>
        <v>0</v>
      </c>
      <c r="BJ31" s="38">
        <f t="shared" si="33"/>
        <v>362.12506083556286</v>
      </c>
      <c r="BK31" s="38">
        <f t="shared" si="34"/>
        <v>56.721347867818366</v>
      </c>
      <c r="BL31" s="38">
        <f t="shared" si="35"/>
        <v>98.136463072131306</v>
      </c>
      <c r="BM31" s="38">
        <f t="shared" si="36"/>
        <v>0</v>
      </c>
      <c r="BN31" s="38">
        <f t="shared" si="37"/>
        <v>0</v>
      </c>
      <c r="BO31" s="372"/>
      <c r="BP31" s="372"/>
    </row>
    <row r="32" spans="2:75" x14ac:dyDescent="0.25">
      <c r="B32" s="164" t="str">
        <f>STN_2</f>
        <v>KLO</v>
      </c>
      <c r="C32" s="17">
        <f>INDEX(Schedule!$C$12:$E$17,MATCH($B32,Schedule!$B$12:$B$17,0),1)</f>
        <v>43692</v>
      </c>
      <c r="D32" s="17">
        <f>INDEX(Schedule!$C$12:$E$17,MATCH($B32,Schedule!$B$12:$B$17,0),2)</f>
        <v>44197</v>
      </c>
      <c r="E32" s="17">
        <f>INDEX(Schedule!$C$12:$E$17,MATCH($B32,Schedule!$B$12:$B$17,0),3)</f>
        <v>44896</v>
      </c>
      <c r="F32" s="677" t="s">
        <v>44</v>
      </c>
      <c r="G32" s="677" t="s">
        <v>19</v>
      </c>
      <c r="H32" s="676" t="str">
        <f t="shared" si="17"/>
        <v>Distribution system assetsReplacement</v>
      </c>
      <c r="I32" s="365">
        <f>KLO_Det!K122</f>
        <v>0</v>
      </c>
      <c r="J32" s="365">
        <f>KLO_Det!L122</f>
        <v>0.31454421897963658</v>
      </c>
      <c r="K32" s="365">
        <f>KLO_Det!M122</f>
        <v>0</v>
      </c>
      <c r="L32" s="365">
        <f>KLO_Det!N122</f>
        <v>11.567994009302323</v>
      </c>
      <c r="M32" s="365">
        <f>KLO_Det!O122</f>
        <v>0</v>
      </c>
      <c r="N32" s="38"/>
      <c r="O32" s="6"/>
      <c r="Q32" s="46"/>
      <c r="R32" s="38">
        <f t="shared" si="18"/>
        <v>0</v>
      </c>
      <c r="S32" s="6"/>
      <c r="T32" s="6"/>
      <c r="U32" s="6"/>
      <c r="V32" s="6"/>
      <c r="W32" s="6"/>
      <c r="X32" s="38"/>
      <c r="Y32" s="38"/>
      <c r="Z32" s="191">
        <f t="shared" si="19"/>
        <v>3.1454421897963658E-2</v>
      </c>
      <c r="AA32" s="191">
        <f t="shared" si="20"/>
        <v>9.4363265693890974E-2</v>
      </c>
      <c r="AB32" s="191">
        <f t="shared" si="20"/>
        <v>9.4363265693890974E-2</v>
      </c>
      <c r="AC32" s="191">
        <f t="shared" si="20"/>
        <v>9.4363265693890974E-2</v>
      </c>
      <c r="AD32" s="6"/>
      <c r="AE32" s="6"/>
      <c r="AF32" s="6"/>
      <c r="AG32" s="6"/>
      <c r="AI32" s="191">
        <f t="shared" si="21"/>
        <v>0</v>
      </c>
      <c r="AJ32" s="191">
        <f>$K32*0.8</f>
        <v>0</v>
      </c>
      <c r="AK32" s="191">
        <f t="shared" si="22"/>
        <v>5.7839970046511615</v>
      </c>
      <c r="AL32" s="191">
        <f>$L32*0.5</f>
        <v>5.7839970046511615</v>
      </c>
      <c r="AM32" s="38"/>
      <c r="AN32" s="38"/>
      <c r="AO32" s="38"/>
      <c r="AP32" s="38"/>
      <c r="AQ32" s="38"/>
      <c r="AR32" s="46"/>
      <c r="AS32" s="46"/>
      <c r="AT32" s="38">
        <f t="shared" si="23"/>
        <v>0</v>
      </c>
      <c r="AU32" s="38">
        <f>$M32*0.5</f>
        <v>0</v>
      </c>
      <c r="AV32" s="6"/>
      <c r="AW32" s="6"/>
      <c r="AX32" s="6">
        <f t="shared" si="24"/>
        <v>0</v>
      </c>
      <c r="AY32" s="6">
        <f t="shared" si="25"/>
        <v>0</v>
      </c>
      <c r="AZ32" s="6">
        <f t="shared" si="26"/>
        <v>0</v>
      </c>
      <c r="BA32" s="6">
        <f t="shared" si="27"/>
        <v>3.1454421897963658E-2</v>
      </c>
      <c r="BB32" s="6">
        <f t="shared" si="28"/>
        <v>9.4363265693890974E-2</v>
      </c>
      <c r="BC32" s="6">
        <f t="shared" si="30"/>
        <v>5.8783602703450528</v>
      </c>
      <c r="BD32" s="6">
        <f t="shared" si="31"/>
        <v>5.8783602703450528</v>
      </c>
      <c r="BE32" s="6">
        <f t="shared" si="32"/>
        <v>0</v>
      </c>
      <c r="BG32" s="14">
        <f t="shared" si="29"/>
        <v>11.882538228281959</v>
      </c>
      <c r="BH32" s="11">
        <f>BG32-KLO_Det!P122</f>
        <v>0</v>
      </c>
      <c r="BJ32" s="38">
        <f t="shared" si="33"/>
        <v>0</v>
      </c>
      <c r="BK32" s="38">
        <f t="shared" si="34"/>
        <v>0.12581768759185463</v>
      </c>
      <c r="BL32" s="38">
        <f t="shared" si="35"/>
        <v>0</v>
      </c>
      <c r="BM32" s="38">
        <f t="shared" si="36"/>
        <v>0</v>
      </c>
      <c r="BN32" s="38">
        <f t="shared" si="37"/>
        <v>0</v>
      </c>
      <c r="BO32" s="372"/>
      <c r="BP32" s="372"/>
    </row>
    <row r="33" spans="2:68" x14ac:dyDescent="0.25">
      <c r="B33" s="164" t="str">
        <f>STN_3</f>
        <v>LLG</v>
      </c>
      <c r="C33" s="17">
        <f>INDEX(Schedule!$C$12:$E$17,MATCH($B33,Schedule!$B$12:$B$17,0),1)</f>
        <v>43692</v>
      </c>
      <c r="D33" s="17">
        <f>INDEX(Schedule!$C$12:$E$17,MATCH($B33,Schedule!$B$12:$B$17,0),2)</f>
        <v>44136</v>
      </c>
      <c r="E33" s="17">
        <f>INDEX(Schedule!$C$12:$E$17,MATCH($B33,Schedule!$B$12:$B$17,0),3)</f>
        <v>44621</v>
      </c>
      <c r="F33" s="677" t="s">
        <v>42</v>
      </c>
      <c r="G33" s="677" t="s">
        <v>19</v>
      </c>
      <c r="H33" s="676" t="str">
        <f t="shared" si="17"/>
        <v>Distribution system assetsAugmentation</v>
      </c>
      <c r="I33" s="365">
        <f>LLG_Det!K119</f>
        <v>473.99527896274947</v>
      </c>
      <c r="J33" s="365">
        <f>LLG_Det!L119</f>
        <v>193.23564524093848</v>
      </c>
      <c r="K33" s="365">
        <f>LLG_Det!M119</f>
        <v>142.85904431441128</v>
      </c>
      <c r="L33" s="365">
        <f>LLG_Det!N119</f>
        <v>1045.0291355171298</v>
      </c>
      <c r="M33" s="365">
        <f>LLG_Det!O119</f>
        <v>53.621410546781561</v>
      </c>
      <c r="N33" s="38"/>
      <c r="O33" s="6"/>
      <c r="Q33" s="46"/>
      <c r="R33" s="38">
        <f t="shared" si="18"/>
        <v>473.99527896274947</v>
      </c>
      <c r="S33" s="6"/>
      <c r="T33" s="6"/>
      <c r="U33" s="6"/>
      <c r="V33" s="6"/>
      <c r="W33" s="6"/>
      <c r="X33" s="38"/>
      <c r="Y33" s="38"/>
      <c r="Z33" s="191">
        <f t="shared" si="19"/>
        <v>19.32356452409385</v>
      </c>
      <c r="AA33" s="191">
        <f t="shared" si="20"/>
        <v>57.97069357228154</v>
      </c>
      <c r="AB33" s="191">
        <f t="shared" si="20"/>
        <v>57.97069357228154</v>
      </c>
      <c r="AC33" s="191">
        <f t="shared" si="20"/>
        <v>57.97069357228154</v>
      </c>
      <c r="AD33" s="6"/>
      <c r="AE33" s="6"/>
      <c r="AF33" s="6"/>
      <c r="AG33" s="6"/>
      <c r="AI33" s="191">
        <f t="shared" si="21"/>
        <v>28.571808862882257</v>
      </c>
      <c r="AJ33" s="191">
        <f>K33*0.8+$L33*0.1</f>
        <v>218.79014900324202</v>
      </c>
      <c r="AK33" s="191">
        <f t="shared" si="22"/>
        <v>522.51456775856491</v>
      </c>
      <c r="AL33" s="191">
        <f>$L33*0.4</f>
        <v>418.01165420685197</v>
      </c>
      <c r="AM33" s="38"/>
      <c r="AN33" s="38"/>
      <c r="AO33" s="38"/>
      <c r="AP33" s="38"/>
      <c r="AQ33" s="38"/>
      <c r="AR33" s="46"/>
      <c r="AS33" s="38">
        <f>$M33*0.1</f>
        <v>5.3621410546781565</v>
      </c>
      <c r="AT33" s="38">
        <f t="shared" si="23"/>
        <v>26.810705273390781</v>
      </c>
      <c r="AU33" s="38">
        <f>$M33*0.4</f>
        <v>21.448564218712626</v>
      </c>
      <c r="AV33" s="6"/>
      <c r="AW33" s="6"/>
      <c r="AX33" s="6">
        <f t="shared" si="24"/>
        <v>0</v>
      </c>
      <c r="AY33" s="6">
        <f t="shared" si="25"/>
        <v>0</v>
      </c>
      <c r="AZ33" s="6">
        <f t="shared" si="26"/>
        <v>0</v>
      </c>
      <c r="BA33" s="6">
        <f t="shared" si="27"/>
        <v>47.895373386976104</v>
      </c>
      <c r="BB33" s="6">
        <f t="shared" si="28"/>
        <v>756.11826259295128</v>
      </c>
      <c r="BC33" s="6">
        <f t="shared" si="30"/>
        <v>607.29596660423726</v>
      </c>
      <c r="BD33" s="6">
        <f t="shared" si="31"/>
        <v>497.43091199784618</v>
      </c>
      <c r="BE33" s="6">
        <f t="shared" si="32"/>
        <v>0</v>
      </c>
      <c r="BG33" s="14">
        <f t="shared" si="29"/>
        <v>1908.7405145820107</v>
      </c>
      <c r="BH33" s="11">
        <f>BG33-LLG_Det!P119</f>
        <v>0</v>
      </c>
      <c r="BJ33" s="38">
        <f t="shared" si="33"/>
        <v>473.99527896274947</v>
      </c>
      <c r="BK33" s="38">
        <f t="shared" si="34"/>
        <v>77.294258096375387</v>
      </c>
      <c r="BL33" s="38">
        <f t="shared" si="35"/>
        <v>142.85904431441128</v>
      </c>
      <c r="BM33" s="38">
        <f t="shared" si="36"/>
        <v>104.50291355171299</v>
      </c>
      <c r="BN33" s="38">
        <f t="shared" si="37"/>
        <v>5.3621410546781565</v>
      </c>
      <c r="BO33" s="46"/>
      <c r="BP33" s="46"/>
    </row>
    <row r="34" spans="2:68" x14ac:dyDescent="0.25">
      <c r="B34" s="164" t="str">
        <f>STN_3</f>
        <v>LLG</v>
      </c>
      <c r="C34" s="17">
        <f>INDEX(Schedule!$C$12:$E$17,MATCH($B34,Schedule!$B$12:$B$17,0),1)</f>
        <v>43692</v>
      </c>
      <c r="D34" s="17">
        <f>INDEX(Schedule!$C$12:$E$17,MATCH($B34,Schedule!$B$12:$B$17,0),2)</f>
        <v>44136</v>
      </c>
      <c r="E34" s="17">
        <f>INDEX(Schedule!$C$12:$E$17,MATCH($B34,Schedule!$B$12:$B$17,0),3)</f>
        <v>44621</v>
      </c>
      <c r="F34" s="677" t="s">
        <v>44</v>
      </c>
      <c r="G34" s="677" t="s">
        <v>19</v>
      </c>
      <c r="H34" s="676" t="str">
        <f t="shared" si="17"/>
        <v>Distribution system assetsReplacement</v>
      </c>
      <c r="I34" s="365">
        <f>LLG_Det!K120</f>
        <v>0</v>
      </c>
      <c r="J34" s="365">
        <f>LLG_Det!L120</f>
        <v>2.0445374233676379</v>
      </c>
      <c r="K34" s="365">
        <f>LLG_Det!M120</f>
        <v>0</v>
      </c>
      <c r="L34" s="365">
        <f>LLG_Det!N120</f>
        <v>53.066263386046501</v>
      </c>
      <c r="M34" s="365">
        <f>LLG_Det!O120</f>
        <v>0</v>
      </c>
      <c r="N34" s="38"/>
      <c r="O34" s="6"/>
      <c r="Q34" s="46"/>
      <c r="R34" s="38">
        <f t="shared" si="18"/>
        <v>0</v>
      </c>
      <c r="S34" s="6"/>
      <c r="T34" s="6"/>
      <c r="U34" s="6"/>
      <c r="V34" s="6"/>
      <c r="W34" s="6"/>
      <c r="X34" s="38"/>
      <c r="Y34" s="38"/>
      <c r="Z34" s="191">
        <f t="shared" si="19"/>
        <v>0.20445374233676381</v>
      </c>
      <c r="AA34" s="191">
        <f t="shared" si="20"/>
        <v>0.61336122701029139</v>
      </c>
      <c r="AB34" s="191">
        <f t="shared" si="20"/>
        <v>0.61336122701029139</v>
      </c>
      <c r="AC34" s="191">
        <f t="shared" si="20"/>
        <v>0.61336122701029139</v>
      </c>
      <c r="AD34" s="6"/>
      <c r="AE34" s="6"/>
      <c r="AF34" s="6"/>
      <c r="AG34" s="6"/>
      <c r="AI34" s="191">
        <f t="shared" si="21"/>
        <v>0</v>
      </c>
      <c r="AJ34" s="191">
        <f>K34*0.8+$L34*0.1</f>
        <v>5.3066263386046506</v>
      </c>
      <c r="AK34" s="191">
        <f t="shared" si="22"/>
        <v>26.53313169302325</v>
      </c>
      <c r="AL34" s="191">
        <f>$L34*0.4</f>
        <v>21.226505354418602</v>
      </c>
      <c r="AM34" s="38"/>
      <c r="AN34" s="38"/>
      <c r="AO34" s="38"/>
      <c r="AP34" s="38"/>
      <c r="AQ34" s="38"/>
      <c r="AR34" s="46"/>
      <c r="AS34" s="38">
        <f>$M34*0.1</f>
        <v>0</v>
      </c>
      <c r="AT34" s="38">
        <f t="shared" si="23"/>
        <v>0</v>
      </c>
      <c r="AU34" s="38">
        <f>$M34*0.4</f>
        <v>0</v>
      </c>
      <c r="AV34" s="6"/>
      <c r="AW34" s="6"/>
      <c r="AX34" s="6">
        <f t="shared" si="24"/>
        <v>0</v>
      </c>
      <c r="AY34" s="6">
        <f t="shared" si="25"/>
        <v>0</v>
      </c>
      <c r="AZ34" s="6">
        <f t="shared" si="26"/>
        <v>0</v>
      </c>
      <c r="BA34" s="6">
        <f t="shared" si="27"/>
        <v>0.20445374233676381</v>
      </c>
      <c r="BB34" s="6">
        <f t="shared" si="28"/>
        <v>5.9199875656149423</v>
      </c>
      <c r="BC34" s="6">
        <f t="shared" si="30"/>
        <v>27.146492920033541</v>
      </c>
      <c r="BD34" s="6">
        <f t="shared" si="31"/>
        <v>21.839866581428893</v>
      </c>
      <c r="BE34" s="6">
        <f t="shared" si="32"/>
        <v>0</v>
      </c>
      <c r="BG34" s="14">
        <f t="shared" si="29"/>
        <v>55.110800809414144</v>
      </c>
      <c r="BH34" s="11">
        <f>BG34-LLG_Det!P120</f>
        <v>0</v>
      </c>
      <c r="BJ34" s="38">
        <f t="shared" si="33"/>
        <v>0</v>
      </c>
      <c r="BK34" s="38">
        <f t="shared" si="34"/>
        <v>0.81781496934705522</v>
      </c>
      <c r="BL34" s="38">
        <f t="shared" si="35"/>
        <v>0</v>
      </c>
      <c r="BM34" s="38">
        <f t="shared" si="36"/>
        <v>5.3066263386046506</v>
      </c>
      <c r="BN34" s="38">
        <f t="shared" si="37"/>
        <v>0</v>
      </c>
      <c r="BO34" s="191"/>
      <c r="BP34" s="191"/>
    </row>
    <row r="35" spans="2:68" x14ac:dyDescent="0.25">
      <c r="B35" s="164" t="str">
        <f>STN_4</f>
        <v>MSD</v>
      </c>
      <c r="C35" s="17">
        <f>INDEX(Schedule!$C$12:$E$17,MATCH($B35,Schedule!$B$12:$B$17,0),1)</f>
        <v>43595</v>
      </c>
      <c r="D35" s="17">
        <f>INDEX(Schedule!$C$12:$E$17,MATCH($B35,Schedule!$B$12:$B$17,0),2)</f>
        <v>43709</v>
      </c>
      <c r="E35" s="17">
        <f>INDEX(Schedule!$C$12:$E$17,MATCH($B35,Schedule!$B$12:$B$17,0),3)</f>
        <v>43900</v>
      </c>
      <c r="F35" s="677" t="s">
        <v>42</v>
      </c>
      <c r="G35" s="677" t="s">
        <v>19</v>
      </c>
      <c r="H35" s="676" t="str">
        <f t="shared" si="17"/>
        <v>Distribution system assetsAugmentation</v>
      </c>
      <c r="I35" s="365">
        <f>MSD_Det!K118</f>
        <v>469.94396850503603</v>
      </c>
      <c r="J35" s="365">
        <f>MSD_Det!L118</f>
        <v>156.95934387267633</v>
      </c>
      <c r="K35" s="365">
        <f>MSD_Det!M118</f>
        <v>93.940052825517029</v>
      </c>
      <c r="L35" s="365">
        <f>MSD_Det!N118</f>
        <v>973.13129478808719</v>
      </c>
      <c r="M35" s="365">
        <f>MSD_Det!O118</f>
        <v>75.213490061362577</v>
      </c>
      <c r="N35" s="6"/>
      <c r="O35" s="6"/>
      <c r="Q35" s="324">
        <f>I35</f>
        <v>469.94396850503603</v>
      </c>
      <c r="R35" s="38"/>
      <c r="S35" s="6"/>
      <c r="T35" s="6"/>
      <c r="U35" s="6"/>
      <c r="V35" s="6"/>
      <c r="W35" s="6"/>
      <c r="X35" s="38"/>
      <c r="Y35" s="38"/>
      <c r="Z35" s="38">
        <f>$J35*0.5</f>
        <v>78.479671936338164</v>
      </c>
      <c r="AA35" s="38">
        <f>$J35*0.5</f>
        <v>78.479671936338164</v>
      </c>
      <c r="AB35" s="38"/>
      <c r="AC35" s="38"/>
      <c r="AD35" s="6"/>
      <c r="AE35" s="6"/>
      <c r="AF35" s="6"/>
      <c r="AG35" s="6"/>
      <c r="AI35" s="191">
        <f>K35+L35*0.5</f>
        <v>580.50570021956059</v>
      </c>
      <c r="AJ35" s="38">
        <f>$L35*0.5</f>
        <v>486.56564739404359</v>
      </c>
      <c r="AK35" s="38"/>
      <c r="AL35" s="38"/>
      <c r="AM35" s="38"/>
      <c r="AN35" s="38"/>
      <c r="AO35" s="38"/>
      <c r="AP35" s="38"/>
      <c r="AQ35" s="38"/>
      <c r="AR35" s="38">
        <f>$M35*0.5</f>
        <v>37.606745030681289</v>
      </c>
      <c r="AS35" s="38">
        <f>$M35*0.5</f>
        <v>37.606745030681289</v>
      </c>
      <c r="AT35" s="38"/>
      <c r="AU35" s="38"/>
      <c r="AV35" s="6"/>
      <c r="AW35" s="6"/>
      <c r="AX35" s="6">
        <f t="shared" si="24"/>
        <v>0</v>
      </c>
      <c r="AY35" s="6">
        <f t="shared" si="25"/>
        <v>0</v>
      </c>
      <c r="AZ35" s="6">
        <f t="shared" si="26"/>
        <v>0</v>
      </c>
      <c r="BA35" s="6">
        <f t="shared" si="27"/>
        <v>1166.5360856916163</v>
      </c>
      <c r="BB35" s="6">
        <f t="shared" si="28"/>
        <v>602.65206436106303</v>
      </c>
      <c r="BC35" s="6">
        <f t="shared" si="30"/>
        <v>0</v>
      </c>
      <c r="BD35" s="6">
        <f t="shared" si="31"/>
        <v>0</v>
      </c>
      <c r="BE35" s="6">
        <f t="shared" si="32"/>
        <v>0</v>
      </c>
      <c r="BG35" s="14">
        <f t="shared" si="29"/>
        <v>1769.1881500526792</v>
      </c>
      <c r="BH35" s="11">
        <f>BG35-MSD_Det!P118</f>
        <v>0</v>
      </c>
      <c r="BJ35" s="38">
        <f t="shared" si="33"/>
        <v>469.94396850503603</v>
      </c>
      <c r="BK35" s="38">
        <f t="shared" si="34"/>
        <v>156.95934387267633</v>
      </c>
      <c r="BL35" s="38">
        <f t="shared" si="35"/>
        <v>93.940052825517029</v>
      </c>
      <c r="BM35" s="38">
        <f t="shared" si="36"/>
        <v>973.1312947880873</v>
      </c>
      <c r="BN35" s="38">
        <f t="shared" si="37"/>
        <v>75.213490061362577</v>
      </c>
      <c r="BO35" s="325"/>
      <c r="BP35" s="325"/>
    </row>
    <row r="36" spans="2:68" x14ac:dyDescent="0.25">
      <c r="B36" s="164" t="str">
        <f>STN_4</f>
        <v>MSD</v>
      </c>
      <c r="C36" s="17">
        <f>INDEX(Schedule!$C$12:$E$17,MATCH($B36,Schedule!$B$12:$B$17,0),1)</f>
        <v>43595</v>
      </c>
      <c r="D36" s="17">
        <f>INDEX(Schedule!$C$12:$E$17,MATCH($B36,Schedule!$B$12:$B$17,0),2)</f>
        <v>43709</v>
      </c>
      <c r="E36" s="17">
        <f>INDEX(Schedule!$C$12:$E$17,MATCH($B36,Schedule!$B$12:$B$17,0),3)</f>
        <v>43900</v>
      </c>
      <c r="F36" s="677" t="s">
        <v>44</v>
      </c>
      <c r="G36" s="677" t="s">
        <v>19</v>
      </c>
      <c r="H36" s="676" t="str">
        <f t="shared" si="17"/>
        <v>Distribution system assetsReplacement</v>
      </c>
      <c r="I36" s="365">
        <f>MSD_Det!K119</f>
        <v>0</v>
      </c>
      <c r="J36" s="365">
        <f>MSD_Det!L119</f>
        <v>2.0445374233676379</v>
      </c>
      <c r="K36" s="365">
        <f>MSD_Det!M119</f>
        <v>0</v>
      </c>
      <c r="L36" s="365">
        <f>MSD_Det!N119</f>
        <v>45.77779826976743</v>
      </c>
      <c r="M36" s="365">
        <f>MSD_Det!O119</f>
        <v>0</v>
      </c>
      <c r="N36" s="38"/>
      <c r="O36" s="6"/>
      <c r="Q36" s="324">
        <f>I36</f>
        <v>0</v>
      </c>
      <c r="R36" s="38"/>
      <c r="S36" s="6"/>
      <c r="T36" s="6"/>
      <c r="U36" s="6"/>
      <c r="V36" s="6"/>
      <c r="W36" s="6"/>
      <c r="X36" s="38"/>
      <c r="Y36" s="38"/>
      <c r="Z36" s="38">
        <f>$J36*0.5</f>
        <v>1.0222687116838189</v>
      </c>
      <c r="AA36" s="38">
        <f>$J36*0.5</f>
        <v>1.0222687116838189</v>
      </c>
      <c r="AB36" s="38"/>
      <c r="AC36" s="38"/>
      <c r="AD36" s="6"/>
      <c r="AE36" s="6"/>
      <c r="AF36" s="6"/>
      <c r="AG36" s="6"/>
      <c r="AI36" s="191">
        <f>K36+L36*0.5</f>
        <v>22.888899134883715</v>
      </c>
      <c r="AJ36" s="38">
        <f>$L36*0.5</f>
        <v>22.888899134883715</v>
      </c>
      <c r="AK36" s="38"/>
      <c r="AL36" s="38"/>
      <c r="AM36" s="38"/>
      <c r="AN36" s="38"/>
      <c r="AO36" s="38"/>
      <c r="AP36" s="38"/>
      <c r="AQ36" s="38"/>
      <c r="AR36" s="38">
        <f>$M36</f>
        <v>0</v>
      </c>
      <c r="AS36" s="38">
        <f>$M36</f>
        <v>0</v>
      </c>
      <c r="AT36" s="38"/>
      <c r="AU36" s="38"/>
      <c r="AV36" s="6"/>
      <c r="AW36" s="6"/>
      <c r="AX36" s="6">
        <f t="shared" si="24"/>
        <v>0</v>
      </c>
      <c r="AY36" s="6">
        <f t="shared" si="25"/>
        <v>0</v>
      </c>
      <c r="AZ36" s="6">
        <f t="shared" si="26"/>
        <v>0</v>
      </c>
      <c r="BA36" s="6">
        <f t="shared" si="27"/>
        <v>23.911167846567533</v>
      </c>
      <c r="BB36" s="6">
        <f t="shared" si="28"/>
        <v>23.911167846567533</v>
      </c>
      <c r="BC36" s="6">
        <f t="shared" si="30"/>
        <v>0</v>
      </c>
      <c r="BD36" s="6">
        <f t="shared" si="31"/>
        <v>0</v>
      </c>
      <c r="BE36" s="6">
        <f t="shared" si="32"/>
        <v>0</v>
      </c>
      <c r="BG36" s="14">
        <f t="shared" si="29"/>
        <v>47.822335693135066</v>
      </c>
      <c r="BH36" s="11">
        <f>BG36-MSD_Det!P119</f>
        <v>0</v>
      </c>
      <c r="BJ36" s="38">
        <f t="shared" si="33"/>
        <v>0</v>
      </c>
      <c r="BK36" s="38">
        <f t="shared" si="34"/>
        <v>2.0445374233676379</v>
      </c>
      <c r="BL36" s="38">
        <f t="shared" si="35"/>
        <v>0</v>
      </c>
      <c r="BM36" s="38">
        <f t="shared" si="36"/>
        <v>45.77779826976743</v>
      </c>
      <c r="BN36" s="38">
        <f t="shared" si="37"/>
        <v>0</v>
      </c>
      <c r="BO36" s="46"/>
      <c r="BP36" s="46"/>
    </row>
    <row r="37" spans="2:68" x14ac:dyDescent="0.25">
      <c r="B37" s="164" t="str">
        <f>STN_5</f>
        <v>SLE</v>
      </c>
      <c r="C37" s="17">
        <f>INDEX(Schedule!$C$12:$E$17,MATCH($B37,Schedule!$B$12:$B$17,0),1)</f>
        <v>43692</v>
      </c>
      <c r="D37" s="17">
        <f>INDEX(Schedule!$C$12:$E$17,MATCH($B37,Schedule!$B$12:$B$17,0),2)</f>
        <v>44166</v>
      </c>
      <c r="E37" s="17">
        <f>INDEX(Schedule!$C$12:$E$17,MATCH($B37,Schedule!$B$12:$B$17,0),3)</f>
        <v>44652</v>
      </c>
      <c r="F37" s="677" t="s">
        <v>42</v>
      </c>
      <c r="G37" s="677" t="s">
        <v>19</v>
      </c>
      <c r="H37" s="676" t="str">
        <f t="shared" si="17"/>
        <v>Distribution system assetsAugmentation</v>
      </c>
      <c r="I37" s="365">
        <f>SLE_Det!K121</f>
        <v>624.86546816340183</v>
      </c>
      <c r="J37" s="365">
        <f>SLE_Det!L121</f>
        <v>229.84952412721364</v>
      </c>
      <c r="K37" s="365">
        <f>SLE_Det!M121</f>
        <v>151.85801582111392</v>
      </c>
      <c r="L37" s="365">
        <f>SLE_Det!N121</f>
        <v>1399.4587611366451</v>
      </c>
      <c r="M37" s="365">
        <f>SLE_Det!O121</f>
        <v>102.02419533475336</v>
      </c>
      <c r="N37" s="38"/>
      <c r="O37" s="6"/>
      <c r="Q37" s="46"/>
      <c r="R37" s="38">
        <f>I37</f>
        <v>624.86546816340183</v>
      </c>
      <c r="S37" s="6"/>
      <c r="T37" s="6"/>
      <c r="U37" s="6"/>
      <c r="V37" s="6"/>
      <c r="W37" s="6"/>
      <c r="X37" s="38"/>
      <c r="Y37" s="38"/>
      <c r="Z37" s="191">
        <f>$J37*0.1</f>
        <v>22.984952412721366</v>
      </c>
      <c r="AA37" s="191">
        <f t="shared" ref="AA37:AC38" si="38">$J37*0.3</f>
        <v>68.954857238164095</v>
      </c>
      <c r="AB37" s="191">
        <f t="shared" si="38"/>
        <v>68.954857238164095</v>
      </c>
      <c r="AC37" s="191">
        <f t="shared" si="38"/>
        <v>68.954857238164095</v>
      </c>
      <c r="AD37" s="6"/>
      <c r="AE37" s="6"/>
      <c r="AF37" s="6"/>
      <c r="AG37" s="6"/>
      <c r="AI37" s="191">
        <f>K37*0.2</f>
        <v>30.371603164222787</v>
      </c>
      <c r="AJ37" s="191">
        <f>K37*0.8+$L37*0.1</f>
        <v>261.43228877055566</v>
      </c>
      <c r="AK37" s="191">
        <f>$L37*0.5</f>
        <v>699.72938056832254</v>
      </c>
      <c r="AL37" s="191">
        <f>$L37*0.4</f>
        <v>559.7835044546581</v>
      </c>
      <c r="AM37" s="38"/>
      <c r="AN37" s="38"/>
      <c r="AO37" s="38"/>
      <c r="AP37" s="38"/>
      <c r="AQ37" s="38"/>
      <c r="AR37" s="46"/>
      <c r="AS37" s="38">
        <f>$M37*0.1</f>
        <v>10.202419533475336</v>
      </c>
      <c r="AT37" s="38">
        <f>$M37*0.5</f>
        <v>51.012097667376679</v>
      </c>
      <c r="AU37" s="38">
        <f>$M37*0.4</f>
        <v>40.809678133901343</v>
      </c>
      <c r="AV37" s="6"/>
      <c r="AW37" s="6"/>
      <c r="AX37" s="6">
        <f t="shared" si="24"/>
        <v>0</v>
      </c>
      <c r="AY37" s="6">
        <f t="shared" si="25"/>
        <v>0</v>
      </c>
      <c r="AZ37" s="6">
        <f t="shared" si="26"/>
        <v>0</v>
      </c>
      <c r="BA37" s="6">
        <f t="shared" si="27"/>
        <v>53.356555576944153</v>
      </c>
      <c r="BB37" s="6">
        <f t="shared" si="28"/>
        <v>965.45503370559697</v>
      </c>
      <c r="BC37" s="6">
        <f t="shared" si="30"/>
        <v>819.69633547386331</v>
      </c>
      <c r="BD37" s="6">
        <f t="shared" si="31"/>
        <v>669.54803982672354</v>
      </c>
      <c r="BE37" s="6">
        <f t="shared" si="32"/>
        <v>0</v>
      </c>
      <c r="BG37" s="14">
        <f t="shared" si="29"/>
        <v>2508.0559645831281</v>
      </c>
      <c r="BH37" s="11">
        <f>BG37-SLE_Det!P121</f>
        <v>0</v>
      </c>
      <c r="BJ37" s="38">
        <f t="shared" si="33"/>
        <v>624.86546816340183</v>
      </c>
      <c r="BK37" s="38">
        <f t="shared" si="34"/>
        <v>91.939809650885465</v>
      </c>
      <c r="BL37" s="38">
        <f t="shared" si="35"/>
        <v>151.85801582111392</v>
      </c>
      <c r="BM37" s="38">
        <f t="shared" si="36"/>
        <v>139.94587611366453</v>
      </c>
      <c r="BN37" s="38">
        <f t="shared" si="37"/>
        <v>10.202419533475336</v>
      </c>
    </row>
    <row r="38" spans="2:68" x14ac:dyDescent="0.25">
      <c r="B38" s="164" t="str">
        <f>STN_5</f>
        <v>SLE</v>
      </c>
      <c r="C38" s="17">
        <f>INDEX(Schedule!$C$12:$E$17,MATCH($B38,Schedule!$B$12:$B$17,0),1)</f>
        <v>43692</v>
      </c>
      <c r="D38" s="17">
        <f>INDEX(Schedule!$C$12:$E$17,MATCH($B38,Schedule!$B$12:$B$17,0),2)</f>
        <v>44166</v>
      </c>
      <c r="E38" s="17">
        <f>INDEX(Schedule!$C$12:$E$17,MATCH($B38,Schedule!$B$12:$B$17,0),3)</f>
        <v>44652</v>
      </c>
      <c r="F38" s="677" t="s">
        <v>44</v>
      </c>
      <c r="G38" s="677" t="s">
        <v>19</v>
      </c>
      <c r="H38" s="676" t="str">
        <f t="shared" si="17"/>
        <v>Distribution system assetsReplacement</v>
      </c>
      <c r="I38" s="365">
        <f>SLE_Det!K122</f>
        <v>0</v>
      </c>
      <c r="J38" s="365">
        <f>SLE_Det!L122</f>
        <v>2.3590816423472742</v>
      </c>
      <c r="K38" s="365">
        <f>SLE_Det!M122</f>
        <v>0</v>
      </c>
      <c r="L38" s="365">
        <f>SLE_Det!N122</f>
        <v>63.593048093023242</v>
      </c>
      <c r="M38" s="365">
        <f>SLE_Det!O122</f>
        <v>0</v>
      </c>
      <c r="N38" s="38"/>
      <c r="O38" s="6"/>
      <c r="Q38" s="46"/>
      <c r="R38" s="38">
        <f>I38</f>
        <v>0</v>
      </c>
      <c r="S38" s="6"/>
      <c r="T38" s="6"/>
      <c r="U38" s="6"/>
      <c r="V38" s="6"/>
      <c r="W38" s="6"/>
      <c r="X38" s="38"/>
      <c r="Y38" s="38"/>
      <c r="Z38" s="191">
        <f>$J38*0.1</f>
        <v>0.23590816423472744</v>
      </c>
      <c r="AA38" s="191">
        <f t="shared" si="38"/>
        <v>0.70772449270418225</v>
      </c>
      <c r="AB38" s="191">
        <f t="shared" si="38"/>
        <v>0.70772449270418225</v>
      </c>
      <c r="AC38" s="191">
        <f t="shared" si="38"/>
        <v>0.70772449270418225</v>
      </c>
      <c r="AD38" s="6"/>
      <c r="AE38" s="6"/>
      <c r="AF38" s="6"/>
      <c r="AG38" s="6"/>
      <c r="AI38" s="191">
        <f>K38*0.2</f>
        <v>0</v>
      </c>
      <c r="AJ38" s="191">
        <f>K38*0.8+$L38*0.1</f>
        <v>6.3593048093023246</v>
      </c>
      <c r="AK38" s="191">
        <f>$L38*0.5</f>
        <v>31.796524046511621</v>
      </c>
      <c r="AL38" s="191">
        <f>$L38*0.4</f>
        <v>25.437219237209298</v>
      </c>
      <c r="AM38" s="38"/>
      <c r="AN38" s="38"/>
      <c r="AO38" s="38"/>
      <c r="AP38" s="38"/>
      <c r="AQ38" s="38"/>
      <c r="AR38" s="46"/>
      <c r="AS38" s="38">
        <f>$M38*0.1</f>
        <v>0</v>
      </c>
      <c r="AT38" s="38">
        <f>$M38*0.5</f>
        <v>0</v>
      </c>
      <c r="AU38" s="38">
        <f>$M38*0.4</f>
        <v>0</v>
      </c>
      <c r="AV38" s="6"/>
      <c r="AW38" s="6"/>
      <c r="AX38" s="6">
        <f t="shared" si="24"/>
        <v>0</v>
      </c>
      <c r="AY38" s="6">
        <f t="shared" si="25"/>
        <v>0</v>
      </c>
      <c r="AZ38" s="6">
        <f t="shared" si="26"/>
        <v>0</v>
      </c>
      <c r="BA38" s="6">
        <f t="shared" si="27"/>
        <v>0.23590816423472744</v>
      </c>
      <c r="BB38" s="6">
        <f t="shared" si="28"/>
        <v>7.0670293020065067</v>
      </c>
      <c r="BC38" s="6">
        <f t="shared" si="30"/>
        <v>32.504248539215801</v>
      </c>
      <c r="BD38" s="6">
        <f t="shared" si="31"/>
        <v>26.144943729913482</v>
      </c>
      <c r="BE38" s="6">
        <f t="shared" si="32"/>
        <v>0</v>
      </c>
      <c r="BG38" s="14">
        <f t="shared" si="29"/>
        <v>65.952129735370519</v>
      </c>
      <c r="BH38" s="11">
        <f>BG38-SLE_Det!P122</f>
        <v>0</v>
      </c>
      <c r="BJ38" s="38">
        <f t="shared" si="33"/>
        <v>0</v>
      </c>
      <c r="BK38" s="38">
        <f t="shared" si="34"/>
        <v>0.94363265693890974</v>
      </c>
      <c r="BL38" s="38">
        <f t="shared" si="35"/>
        <v>0</v>
      </c>
      <c r="BM38" s="38">
        <f t="shared" si="36"/>
        <v>6.3593048093023246</v>
      </c>
      <c r="BN38" s="38">
        <f t="shared" si="37"/>
        <v>0</v>
      </c>
    </row>
    <row r="39" spans="2:68" x14ac:dyDescent="0.25">
      <c r="B39" s="164" t="str">
        <f>STN_9</f>
        <v>KLO2</v>
      </c>
      <c r="C39" s="17">
        <f>INDEX(Schedule!$C$12:$E$17,MATCH($B39,Schedule!$B$12:$B$17,0),1)</f>
        <v>0</v>
      </c>
      <c r="D39" s="17">
        <f>INDEX(Schedule!$C$12:$E$17,MATCH($B39,Schedule!$B$12:$B$17,0),2)</f>
        <v>0</v>
      </c>
      <c r="E39" s="17">
        <f>INDEX(Schedule!$C$12:$E$17,MATCH($B39,Schedule!$B$12:$B$17,0),3)</f>
        <v>0</v>
      </c>
      <c r="F39" s="677" t="s">
        <v>42</v>
      </c>
      <c r="G39" s="677" t="s">
        <v>19</v>
      </c>
      <c r="H39" s="676" t="str">
        <f t="shared" si="17"/>
        <v>Distribution system assetsAugmentation</v>
      </c>
      <c r="I39" s="365"/>
      <c r="J39" s="365"/>
      <c r="K39" s="365"/>
      <c r="L39" s="365"/>
      <c r="M39" s="365"/>
      <c r="N39" s="6"/>
      <c r="O39" s="6"/>
      <c r="Q39" s="46"/>
      <c r="R39" s="38"/>
      <c r="S39" s="6"/>
      <c r="T39" s="6"/>
      <c r="U39" s="6"/>
      <c r="V39" s="6"/>
      <c r="W39" s="6"/>
      <c r="X39" s="38"/>
      <c r="Y39" s="38"/>
      <c r="Z39" s="46"/>
      <c r="AA39" s="46"/>
      <c r="AB39" s="38"/>
      <c r="AC39" s="38"/>
      <c r="AD39" s="6"/>
      <c r="AE39" s="6"/>
      <c r="AF39" s="6"/>
      <c r="AG39" s="6"/>
      <c r="AI39" s="46"/>
      <c r="AJ39" s="46"/>
      <c r="AK39" s="38"/>
      <c r="AL39" s="38"/>
      <c r="AM39" s="38"/>
      <c r="AN39" s="38"/>
      <c r="AO39" s="38"/>
      <c r="AP39" s="38"/>
      <c r="AQ39" s="38"/>
      <c r="AR39" s="46"/>
      <c r="AS39" s="46"/>
      <c r="AT39" s="38"/>
      <c r="AU39" s="38"/>
      <c r="AV39" s="6"/>
      <c r="AW39" s="6"/>
      <c r="AX39" s="6">
        <f t="shared" si="24"/>
        <v>0</v>
      </c>
      <c r="AY39" s="6">
        <f t="shared" si="25"/>
        <v>0</v>
      </c>
      <c r="AZ39" s="6">
        <f t="shared" si="26"/>
        <v>0</v>
      </c>
      <c r="BA39" s="6">
        <f t="shared" si="27"/>
        <v>0</v>
      </c>
      <c r="BB39" s="6">
        <f t="shared" si="28"/>
        <v>0</v>
      </c>
      <c r="BC39" s="6">
        <f t="shared" si="30"/>
        <v>0</v>
      </c>
      <c r="BD39" s="6">
        <f t="shared" si="31"/>
        <v>0</v>
      </c>
      <c r="BE39" s="6">
        <f t="shared" si="32"/>
        <v>0</v>
      </c>
      <c r="BG39" s="14">
        <f t="shared" si="29"/>
        <v>0</v>
      </c>
      <c r="BH39" s="11"/>
      <c r="BJ39" s="38">
        <f t="shared" si="33"/>
        <v>0</v>
      </c>
      <c r="BK39" s="38">
        <f t="shared" si="34"/>
        <v>0</v>
      </c>
      <c r="BL39" s="38">
        <f t="shared" si="35"/>
        <v>0</v>
      </c>
      <c r="BM39" s="38">
        <f t="shared" si="36"/>
        <v>0</v>
      </c>
      <c r="BN39" s="38">
        <f t="shared" si="37"/>
        <v>0</v>
      </c>
    </row>
    <row r="40" spans="2:68" x14ac:dyDescent="0.25">
      <c r="B40" s="164" t="str">
        <f>STN_9</f>
        <v>KLO2</v>
      </c>
      <c r="C40" s="17">
        <f>INDEX(Schedule!$C$12:$E$17,MATCH($B40,Schedule!$B$12:$B$17,0),1)</f>
        <v>0</v>
      </c>
      <c r="D40" s="17">
        <f>INDEX(Schedule!$C$12:$E$17,MATCH($B40,Schedule!$B$12:$B$17,0),2)</f>
        <v>0</v>
      </c>
      <c r="E40" s="17">
        <f>INDEX(Schedule!$C$12:$E$17,MATCH($B40,Schedule!$B$12:$B$17,0),3)</f>
        <v>0</v>
      </c>
      <c r="F40" s="677" t="s">
        <v>44</v>
      </c>
      <c r="G40" s="677" t="s">
        <v>19</v>
      </c>
      <c r="H40" s="676" t="str">
        <f t="shared" si="17"/>
        <v>Distribution system assetsReplacement</v>
      </c>
      <c r="I40" s="365"/>
      <c r="J40" s="365"/>
      <c r="K40" s="365"/>
      <c r="L40" s="365"/>
      <c r="M40" s="365"/>
      <c r="N40" s="6"/>
      <c r="O40" s="6"/>
      <c r="Q40" s="46"/>
      <c r="R40" s="38"/>
      <c r="S40" s="6"/>
      <c r="T40" s="6"/>
      <c r="U40" s="6"/>
      <c r="V40" s="6"/>
      <c r="W40" s="6"/>
      <c r="X40" s="38"/>
      <c r="Y40" s="38"/>
      <c r="Z40" s="46"/>
      <c r="AA40" s="46"/>
      <c r="AB40" s="38"/>
      <c r="AC40" s="38"/>
      <c r="AD40" s="6"/>
      <c r="AE40" s="6"/>
      <c r="AF40" s="6"/>
      <c r="AG40" s="6"/>
      <c r="AI40" s="46"/>
      <c r="AJ40" s="46"/>
      <c r="AK40" s="38"/>
      <c r="AL40" s="38"/>
      <c r="AM40" s="38"/>
      <c r="AN40" s="38"/>
      <c r="AO40" s="38"/>
      <c r="AP40" s="38"/>
      <c r="AQ40" s="38"/>
      <c r="AR40" s="46"/>
      <c r="AS40" s="46"/>
      <c r="AT40" s="38"/>
      <c r="AU40" s="38"/>
      <c r="AV40" s="6"/>
      <c r="AW40" s="6"/>
      <c r="AX40" s="6">
        <f t="shared" si="24"/>
        <v>0</v>
      </c>
      <c r="AY40" s="6">
        <f t="shared" si="25"/>
        <v>0</v>
      </c>
      <c r="AZ40" s="6">
        <f t="shared" si="26"/>
        <v>0</v>
      </c>
      <c r="BA40" s="6">
        <f t="shared" si="27"/>
        <v>0</v>
      </c>
      <c r="BB40" s="6">
        <f t="shared" si="28"/>
        <v>0</v>
      </c>
      <c r="BC40" s="6">
        <f t="shared" si="30"/>
        <v>0</v>
      </c>
      <c r="BD40" s="6">
        <f t="shared" si="31"/>
        <v>0</v>
      </c>
      <c r="BE40" s="6">
        <f t="shared" si="32"/>
        <v>0</v>
      </c>
      <c r="BG40" s="14">
        <f t="shared" si="29"/>
        <v>0</v>
      </c>
      <c r="BH40" s="11"/>
      <c r="BJ40" s="38">
        <f t="shared" si="33"/>
        <v>0</v>
      </c>
      <c r="BK40" s="38">
        <f t="shared" si="34"/>
        <v>0</v>
      </c>
      <c r="BL40" s="38">
        <f t="shared" si="35"/>
        <v>0</v>
      </c>
      <c r="BM40" s="38">
        <f t="shared" si="36"/>
        <v>0</v>
      </c>
      <c r="BN40" s="38">
        <f t="shared" si="37"/>
        <v>0</v>
      </c>
    </row>
    <row r="41" spans="2:68" x14ac:dyDescent="0.25">
      <c r="B41" s="164"/>
      <c r="C41" s="9"/>
      <c r="D41" s="9"/>
      <c r="E41" s="8"/>
      <c r="F41" s="677"/>
      <c r="G41" s="677"/>
      <c r="H41" s="677"/>
      <c r="I41" s="8"/>
      <c r="J41" s="8"/>
      <c r="K41" s="8"/>
      <c r="L41" s="8"/>
      <c r="M41" s="8"/>
      <c r="N41" s="6"/>
      <c r="O41" s="6"/>
      <c r="Q41" s="46"/>
      <c r="R41" s="38"/>
      <c r="S41" s="6"/>
      <c r="T41" s="6"/>
      <c r="U41" s="6"/>
      <c r="V41" s="6"/>
      <c r="W41" s="6"/>
      <c r="X41" s="38"/>
      <c r="Y41" s="38"/>
      <c r="Z41" s="46"/>
      <c r="AA41" s="46"/>
      <c r="AB41" s="38"/>
      <c r="AC41" s="38"/>
      <c r="AD41" s="6"/>
      <c r="AE41" s="6"/>
      <c r="AF41" s="6"/>
      <c r="AG41" s="6"/>
      <c r="AI41" s="46"/>
      <c r="AJ41" s="46"/>
      <c r="AK41" s="38"/>
      <c r="AL41" s="38"/>
      <c r="AM41" s="38"/>
      <c r="AN41" s="38"/>
      <c r="AO41" s="38"/>
      <c r="AP41" s="38"/>
      <c r="AQ41" s="38"/>
      <c r="AR41" s="46"/>
      <c r="AS41" s="46"/>
      <c r="AT41" s="38"/>
      <c r="AU41" s="38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2:68" x14ac:dyDescent="0.25">
      <c r="B42" s="25" t="s">
        <v>135</v>
      </c>
      <c r="E42" s="8"/>
      <c r="F42" s="677"/>
      <c r="G42" s="677"/>
      <c r="H42" s="677"/>
      <c r="I42" s="8"/>
      <c r="J42" s="8"/>
      <c r="K42" s="8"/>
      <c r="L42" s="8"/>
      <c r="M42" s="8"/>
      <c r="N42" s="6"/>
      <c r="O42" s="6"/>
      <c r="Q42" s="46"/>
      <c r="R42" s="38"/>
      <c r="S42" s="6"/>
      <c r="T42" s="6"/>
      <c r="U42" s="6"/>
      <c r="V42" s="6"/>
      <c r="W42" s="6"/>
      <c r="X42" s="38"/>
      <c r="Y42" s="38"/>
      <c r="Z42" s="46"/>
      <c r="AA42" s="46"/>
      <c r="AB42" s="38"/>
      <c r="AC42" s="38"/>
      <c r="AD42" s="6"/>
      <c r="AE42" s="6"/>
      <c r="AF42" s="6"/>
      <c r="AG42" s="6"/>
      <c r="AI42" s="46"/>
      <c r="AJ42" s="46"/>
      <c r="AK42" s="38"/>
      <c r="AL42" s="38"/>
      <c r="AM42" s="38"/>
      <c r="AN42" s="38"/>
      <c r="AO42" s="38"/>
      <c r="AP42" s="38"/>
      <c r="AQ42" s="38"/>
      <c r="AR42" s="46"/>
      <c r="AS42" s="46"/>
      <c r="AT42" s="38"/>
      <c r="AU42" s="38"/>
      <c r="AV42" s="6"/>
      <c r="AW42" s="6"/>
      <c r="AX42" s="6"/>
      <c r="AY42" s="6"/>
      <c r="AZ42" s="6"/>
      <c r="BA42" s="6"/>
      <c r="BB42" s="6"/>
      <c r="BC42" s="6"/>
      <c r="BD42" s="6"/>
      <c r="BE42" s="6"/>
      <c r="BJ42" s="482" t="s">
        <v>151</v>
      </c>
      <c r="BK42" s="493" t="s">
        <v>63</v>
      </c>
      <c r="BL42" s="493" t="s">
        <v>7</v>
      </c>
      <c r="BM42" s="650" t="s">
        <v>380</v>
      </c>
      <c r="BN42" s="650" t="s">
        <v>77</v>
      </c>
    </row>
    <row r="43" spans="2:68" x14ac:dyDescent="0.25">
      <c r="B43" s="164" t="str">
        <f>STN_1</f>
        <v>BN</v>
      </c>
      <c r="C43" s="17">
        <f>Schedule!C20</f>
        <v>43692</v>
      </c>
      <c r="D43" s="17">
        <f>Schedule!D20</f>
        <v>44105</v>
      </c>
      <c r="E43" s="20">
        <f>Schedule!E20</f>
        <v>44715</v>
      </c>
      <c r="F43" s="677" t="s">
        <v>44</v>
      </c>
      <c r="G43" s="677" t="s">
        <v>19</v>
      </c>
      <c r="H43" s="676" t="str">
        <f t="shared" ref="H43:H48" si="39">G43&amp;F43</f>
        <v>Distribution system assetsReplacement</v>
      </c>
      <c r="I43" s="365">
        <f>Direct_Capex_Totals!Q27</f>
        <v>475.42113163808176</v>
      </c>
      <c r="J43" s="365">
        <f>Direct_Capex_Totals!R27</f>
        <v>243.17541158154023</v>
      </c>
      <c r="K43" s="365">
        <f>Direct_Capex_Totals!S27</f>
        <v>0</v>
      </c>
      <c r="L43" s="365">
        <f>Direct_Capex_Totals!T27</f>
        <v>910.85013034057647</v>
      </c>
      <c r="M43" s="365">
        <f>Direct_Capex_Totals!U27</f>
        <v>0</v>
      </c>
      <c r="N43" s="6"/>
      <c r="O43" s="6"/>
      <c r="Q43" s="46"/>
      <c r="R43" s="38">
        <f>I43</f>
        <v>475.42113163808176</v>
      </c>
      <c r="S43" s="6"/>
      <c r="T43" s="6"/>
      <c r="U43" s="6"/>
      <c r="V43" s="6"/>
      <c r="W43" s="6"/>
      <c r="X43" s="38"/>
      <c r="Y43" s="38"/>
      <c r="Z43" s="191">
        <f>$J43*0.1</f>
        <v>24.317541158154025</v>
      </c>
      <c r="AA43" s="191">
        <f t="shared" ref="AA43:AC45" si="40">$J43*0.3</f>
        <v>72.952623474462072</v>
      </c>
      <c r="AB43" s="191">
        <f t="shared" si="40"/>
        <v>72.952623474462072</v>
      </c>
      <c r="AC43" s="191">
        <f t="shared" si="40"/>
        <v>72.952623474462072</v>
      </c>
      <c r="AD43" s="6"/>
      <c r="AE43" s="6"/>
      <c r="AF43" s="6"/>
      <c r="AG43" s="6"/>
      <c r="AI43" s="324">
        <f>K43</f>
        <v>0</v>
      </c>
      <c r="AJ43" s="191">
        <f>L43*0.1</f>
        <v>91.085013034057653</v>
      </c>
      <c r="AK43" s="191">
        <f>$L43*0.5</f>
        <v>455.42506517028824</v>
      </c>
      <c r="AL43" s="191">
        <f>$L43*0.4</f>
        <v>364.34005213623061</v>
      </c>
      <c r="AM43" s="38"/>
      <c r="AN43" s="38"/>
      <c r="AO43" s="38"/>
      <c r="AP43" s="38"/>
      <c r="AQ43" s="38"/>
      <c r="AR43" s="46"/>
      <c r="AS43" s="46"/>
      <c r="AT43" s="38"/>
      <c r="AU43" s="38"/>
      <c r="AV43" s="6"/>
      <c r="AW43" s="6"/>
      <c r="AX43" s="6">
        <f t="shared" ref="AX43:AX48" si="41">N43+W43+AF43+AO43</f>
        <v>0</v>
      </c>
      <c r="AY43" s="6">
        <f t="shared" ref="AY43:AY48" si="42">O43+X43+AG43+AP43</f>
        <v>0</v>
      </c>
      <c r="AZ43" s="6">
        <f t="shared" ref="AZ43:AZ48" si="43">P43+Y43+AH43+AQ43</f>
        <v>0</v>
      </c>
      <c r="BA43" s="6">
        <f t="shared" ref="BA43:BA48" si="44">Q43+Z43+AI43+AR43</f>
        <v>24.317541158154025</v>
      </c>
      <c r="BB43" s="6">
        <f t="shared" ref="BB43:BB48" si="45">R43+AA43+AJ43+AS43</f>
        <v>639.45876814660141</v>
      </c>
      <c r="BC43" s="6">
        <f t="shared" ref="BC43:BC48" si="46">SUM(S43,AB43,AK43,AT43)</f>
        <v>528.37768864475026</v>
      </c>
      <c r="BD43" s="6">
        <f t="shared" ref="BD43:BD88" si="47">SUM(T43,AC43,AL43,AU43)</f>
        <v>437.2926756106927</v>
      </c>
      <c r="BE43" s="6">
        <f t="shared" ref="BE43:BE88" si="48">SUM(U43,AD43,AM43,AV43)</f>
        <v>0</v>
      </c>
      <c r="BG43" s="14">
        <f t="shared" ref="BG43:BG48" si="49">SUM(AX43:BE43)</f>
        <v>1629.4466735601982</v>
      </c>
      <c r="BH43" s="11">
        <f>BG43-Direct_Capex_Totals!V27</f>
        <v>0</v>
      </c>
      <c r="BJ43" s="38">
        <f t="shared" ref="BJ43:BJ48" si="50">SUMIFS($N43:$U43,$N$4:$U$4,"&lt;=2020")</f>
        <v>475.42113163808176</v>
      </c>
      <c r="BK43" s="38">
        <f t="shared" ref="BK43:BK48" si="51">SUMIFS($W43:$AD43,$W$4:$AD$4,"&lt;=2020")</f>
        <v>97.270164632616101</v>
      </c>
      <c r="BL43" s="38">
        <f t="shared" ref="BL43:BL48" si="52">SUMIFS($K43,$C43,"&lt;=31/12/2020")</f>
        <v>0</v>
      </c>
      <c r="BM43" s="38">
        <f t="shared" ref="BM43:BM48" si="53">SUMIFS($AF43:$AM43,$AF$4:$AM$4,"&lt;=2020")-BL43</f>
        <v>91.085013034057653</v>
      </c>
      <c r="BN43" s="38">
        <f t="shared" ref="BN43:BN48" si="54">SUMIFS($AO43:$AV43,$AO$4:$AV$4,"&lt;=2020")</f>
        <v>0</v>
      </c>
    </row>
    <row r="44" spans="2:68" x14ac:dyDescent="0.25">
      <c r="B44" s="164" t="str">
        <f>STN_2</f>
        <v>KLO</v>
      </c>
      <c r="C44" s="17">
        <f>Schedule!C21</f>
        <v>43692</v>
      </c>
      <c r="D44" s="17">
        <f>Schedule!D21</f>
        <v>44197</v>
      </c>
      <c r="E44" s="20">
        <f>Schedule!E21</f>
        <v>44896</v>
      </c>
      <c r="F44" s="677" t="s">
        <v>44</v>
      </c>
      <c r="G44" s="677" t="s">
        <v>19</v>
      </c>
      <c r="H44" s="676" t="str">
        <f t="shared" si="39"/>
        <v>Distribution system assetsReplacement</v>
      </c>
      <c r="I44" s="365">
        <f>Direct_Capex_Totals!Q28</f>
        <v>61.295476240702008</v>
      </c>
      <c r="J44" s="365">
        <f>Direct_Capex_Totals!R28</f>
        <v>31.352314129499412</v>
      </c>
      <c r="K44" s="365">
        <f>Direct_Capex_Totals!S28</f>
        <v>0</v>
      </c>
      <c r="L44" s="365">
        <f>Direct_Capex_Totals!T28</f>
        <v>117.43481475205637</v>
      </c>
      <c r="M44" s="365">
        <f>Direct_Capex_Totals!U28</f>
        <v>0</v>
      </c>
      <c r="N44" s="6"/>
      <c r="O44" s="6"/>
      <c r="Q44" s="46"/>
      <c r="R44" s="38">
        <f>I44</f>
        <v>61.295476240702008</v>
      </c>
      <c r="S44" s="6"/>
      <c r="T44" s="6"/>
      <c r="U44" s="6"/>
      <c r="V44" s="6"/>
      <c r="W44" s="6"/>
      <c r="X44" s="38"/>
      <c r="Y44" s="38"/>
      <c r="Z44" s="191">
        <f>$J44*0.1</f>
        <v>3.1352314129499415</v>
      </c>
      <c r="AA44" s="191">
        <f t="shared" si="40"/>
        <v>9.4056942388498239</v>
      </c>
      <c r="AB44" s="191">
        <f t="shared" si="40"/>
        <v>9.4056942388498239</v>
      </c>
      <c r="AC44" s="191">
        <f t="shared" si="40"/>
        <v>9.4056942388498239</v>
      </c>
      <c r="AD44" s="6"/>
      <c r="AE44" s="6"/>
      <c r="AF44" s="6"/>
      <c r="AG44" s="6"/>
      <c r="AI44" s="324">
        <f>K44</f>
        <v>0</v>
      </c>
      <c r="AJ44" s="191">
        <f>L44*0.1</f>
        <v>11.743481475205638</v>
      </c>
      <c r="AK44" s="191">
        <f>$L44*0.5</f>
        <v>58.717407376028184</v>
      </c>
      <c r="AL44" s="191">
        <f>$L44*0.4</f>
        <v>46.97392590082255</v>
      </c>
      <c r="AM44" s="38"/>
      <c r="AN44" s="38"/>
      <c r="AO44" s="38"/>
      <c r="AP44" s="38"/>
      <c r="AQ44" s="38"/>
      <c r="AR44" s="46"/>
      <c r="AS44" s="46"/>
      <c r="AT44" s="38"/>
      <c r="AU44" s="38"/>
      <c r="AV44" s="6"/>
      <c r="AW44" s="6"/>
      <c r="AX44" s="6">
        <f t="shared" si="41"/>
        <v>0</v>
      </c>
      <c r="AY44" s="6">
        <f t="shared" si="42"/>
        <v>0</v>
      </c>
      <c r="AZ44" s="6">
        <f t="shared" si="43"/>
        <v>0</v>
      </c>
      <c r="BA44" s="6">
        <f t="shared" si="44"/>
        <v>3.1352314129499415</v>
      </c>
      <c r="BB44" s="6">
        <f t="shared" si="45"/>
        <v>82.444651954757475</v>
      </c>
      <c r="BC44" s="6">
        <f t="shared" si="46"/>
        <v>68.12310161487801</v>
      </c>
      <c r="BD44" s="6">
        <f t="shared" si="47"/>
        <v>56.379620139672376</v>
      </c>
      <c r="BE44" s="6">
        <f t="shared" si="48"/>
        <v>0</v>
      </c>
      <c r="BG44" s="14">
        <f t="shared" si="49"/>
        <v>210.08260512225777</v>
      </c>
      <c r="BH44" s="11">
        <f>BG44-Direct_Capex_Totals!V28</f>
        <v>0</v>
      </c>
      <c r="BJ44" s="38">
        <f t="shared" si="50"/>
        <v>61.295476240702008</v>
      </c>
      <c r="BK44" s="38">
        <f t="shared" si="51"/>
        <v>12.540925651799766</v>
      </c>
      <c r="BL44" s="38">
        <f t="shared" si="52"/>
        <v>0</v>
      </c>
      <c r="BM44" s="38">
        <f t="shared" si="53"/>
        <v>11.743481475205638</v>
      </c>
      <c r="BN44" s="38">
        <f t="shared" si="54"/>
        <v>0</v>
      </c>
    </row>
    <row r="45" spans="2:68" x14ac:dyDescent="0.25">
      <c r="B45" s="164" t="str">
        <f>STN_3</f>
        <v>LLG</v>
      </c>
      <c r="C45" s="17">
        <f>Schedule!C22</f>
        <v>43692</v>
      </c>
      <c r="D45" s="17">
        <f>Schedule!D22</f>
        <v>44136</v>
      </c>
      <c r="E45" s="20">
        <f>Schedule!E22</f>
        <v>44621</v>
      </c>
      <c r="F45" s="677" t="s">
        <v>44</v>
      </c>
      <c r="G45" s="677" t="s">
        <v>19</v>
      </c>
      <c r="H45" s="676" t="str">
        <f t="shared" si="39"/>
        <v>Distribution system assetsReplacement</v>
      </c>
      <c r="I45" s="365">
        <f>Direct_Capex_Totals!Q29</f>
        <v>155.83078785571507</v>
      </c>
      <c r="J45" s="365">
        <f>Direct_Capex_Totals!R29</f>
        <v>79.706629453602986</v>
      </c>
      <c r="K45" s="365">
        <f>Direct_Capex_Totals!S29</f>
        <v>0</v>
      </c>
      <c r="L45" s="365">
        <f>Direct_Capex_Totals!T29</f>
        <v>298.55318576269059</v>
      </c>
      <c r="M45" s="365">
        <f>Direct_Capex_Totals!U29</f>
        <v>0</v>
      </c>
      <c r="N45" s="6"/>
      <c r="O45" s="6"/>
      <c r="Q45" s="46"/>
      <c r="R45" s="38">
        <f>I45</f>
        <v>155.83078785571507</v>
      </c>
      <c r="S45" s="6"/>
      <c r="T45" s="6"/>
      <c r="U45" s="6"/>
      <c r="V45" s="6"/>
      <c r="W45" s="6"/>
      <c r="X45" s="38"/>
      <c r="Y45" s="38"/>
      <c r="Z45" s="191">
        <f>$J45*0.1</f>
        <v>7.9706629453602993</v>
      </c>
      <c r="AA45" s="191">
        <f t="shared" si="40"/>
        <v>23.911988836080894</v>
      </c>
      <c r="AB45" s="191">
        <f t="shared" si="40"/>
        <v>23.911988836080894</v>
      </c>
      <c r="AC45" s="191">
        <f t="shared" si="40"/>
        <v>23.911988836080894</v>
      </c>
      <c r="AD45" s="6"/>
      <c r="AE45" s="6"/>
      <c r="AF45" s="6"/>
      <c r="AG45" s="6"/>
      <c r="AI45" s="324">
        <f>K45</f>
        <v>0</v>
      </c>
      <c r="AJ45" s="191">
        <f>L45*0.1</f>
        <v>29.85531857626906</v>
      </c>
      <c r="AK45" s="191">
        <f>$L45*0.5</f>
        <v>149.27659288134529</v>
      </c>
      <c r="AL45" s="191">
        <f>$L45*0.4</f>
        <v>119.42127430507624</v>
      </c>
      <c r="AM45" s="38"/>
      <c r="AN45" s="38"/>
      <c r="AO45" s="38"/>
      <c r="AP45" s="38"/>
      <c r="AQ45" s="38"/>
      <c r="AR45" s="46"/>
      <c r="AS45" s="46"/>
      <c r="AT45" s="38"/>
      <c r="AU45" s="38"/>
      <c r="AV45" s="6"/>
      <c r="AW45" s="6"/>
      <c r="AX45" s="6">
        <f t="shared" si="41"/>
        <v>0</v>
      </c>
      <c r="AY45" s="6">
        <f t="shared" si="42"/>
        <v>0</v>
      </c>
      <c r="AZ45" s="6">
        <f t="shared" si="43"/>
        <v>0</v>
      </c>
      <c r="BA45" s="6">
        <f t="shared" si="44"/>
        <v>7.9706629453602993</v>
      </c>
      <c r="BB45" s="6">
        <f t="shared" si="45"/>
        <v>209.59809526806504</v>
      </c>
      <c r="BC45" s="6">
        <f t="shared" si="46"/>
        <v>173.18858171742619</v>
      </c>
      <c r="BD45" s="6">
        <f t="shared" si="47"/>
        <v>143.33326314115715</v>
      </c>
      <c r="BE45" s="6">
        <f t="shared" si="48"/>
        <v>0</v>
      </c>
      <c r="BG45" s="14">
        <f t="shared" si="49"/>
        <v>534.09060307200866</v>
      </c>
      <c r="BH45" s="11">
        <f>BG45-Direct_Capex_Totals!V29</f>
        <v>0</v>
      </c>
      <c r="BJ45" s="38">
        <f t="shared" si="50"/>
        <v>155.83078785571507</v>
      </c>
      <c r="BK45" s="38">
        <f t="shared" si="51"/>
        <v>31.882651781441194</v>
      </c>
      <c r="BL45" s="38">
        <f t="shared" si="52"/>
        <v>0</v>
      </c>
      <c r="BM45" s="38">
        <f t="shared" si="53"/>
        <v>29.85531857626906</v>
      </c>
      <c r="BN45" s="38">
        <f t="shared" si="54"/>
        <v>0</v>
      </c>
    </row>
    <row r="46" spans="2:68" x14ac:dyDescent="0.25">
      <c r="B46" s="164" t="str">
        <f>STN_4</f>
        <v>MSD</v>
      </c>
      <c r="C46" s="17">
        <f>Schedule!C23</f>
        <v>43313</v>
      </c>
      <c r="D46" s="17">
        <f>Schedule!D23</f>
        <v>43647</v>
      </c>
      <c r="E46" s="20">
        <f>Schedule!E23</f>
        <v>43800</v>
      </c>
      <c r="F46" s="677" t="s">
        <v>44</v>
      </c>
      <c r="G46" s="677" t="s">
        <v>19</v>
      </c>
      <c r="H46" s="676" t="str">
        <f t="shared" si="39"/>
        <v>Distribution system assetsReplacement</v>
      </c>
      <c r="I46" s="365">
        <f>Direct_Capex_Totals!Q30</f>
        <v>297.93870789634758</v>
      </c>
      <c r="J46" s="365">
        <f>Direct_Capex_Totals!R30</f>
        <v>152.39408410209418</v>
      </c>
      <c r="K46" s="365">
        <f>Direct_Capex_Totals!S30</f>
        <v>0</v>
      </c>
      <c r="L46" s="365">
        <f>Direct_Capex_Totals!T30</f>
        <v>570.81499508835361</v>
      </c>
      <c r="M46" s="365">
        <f>Direct_Capex_Totals!U30</f>
        <v>0</v>
      </c>
      <c r="N46" s="6"/>
      <c r="O46" s="6"/>
      <c r="P46" s="324">
        <f>(37+114.3)*Escalators!$F$12</f>
        <v>145.69629629629631</v>
      </c>
      <c r="Q46" s="324">
        <f>I46-P46</f>
        <v>152.24241160005127</v>
      </c>
      <c r="R46" s="38"/>
      <c r="S46" s="6"/>
      <c r="T46" s="6"/>
      <c r="U46" s="6"/>
      <c r="V46" s="6"/>
      <c r="W46" s="6"/>
      <c r="X46" s="38"/>
      <c r="Y46" s="324">
        <f>12.1*Escalators!$F$12</f>
        <v>11.65185185185185</v>
      </c>
      <c r="Z46" s="38">
        <f>$J46-Y46</f>
        <v>140.74223225024232</v>
      </c>
      <c r="AA46" s="38"/>
      <c r="AB46" s="38"/>
      <c r="AC46" s="38"/>
      <c r="AD46" s="6"/>
      <c r="AE46" s="6"/>
      <c r="AF46" s="6"/>
      <c r="AG46" s="6"/>
      <c r="AH46" s="324">
        <f>71.6*Escalators!$F$12</f>
        <v>68.948148148148135</v>
      </c>
      <c r="AI46" s="38">
        <f>K46+$L46-AH46</f>
        <v>501.86684694020551</v>
      </c>
      <c r="AJ46" s="38"/>
      <c r="AK46" s="38"/>
      <c r="AL46" s="38"/>
      <c r="AM46" s="38"/>
      <c r="AN46" s="38"/>
      <c r="AO46" s="38"/>
      <c r="AP46" s="38"/>
      <c r="AQ46" s="38"/>
      <c r="AR46" s="46"/>
      <c r="AS46" s="46"/>
      <c r="AT46" s="38"/>
      <c r="AU46" s="38"/>
      <c r="AV46" s="6"/>
      <c r="AW46" s="6"/>
      <c r="AX46" s="6">
        <f t="shared" si="41"/>
        <v>0</v>
      </c>
      <c r="AY46" s="6">
        <f t="shared" si="42"/>
        <v>0</v>
      </c>
      <c r="AZ46" s="6">
        <f t="shared" si="43"/>
        <v>226.2962962962963</v>
      </c>
      <c r="BA46" s="6">
        <f t="shared" si="44"/>
        <v>794.85149079049916</v>
      </c>
      <c r="BB46" s="6">
        <f t="shared" si="45"/>
        <v>0</v>
      </c>
      <c r="BC46" s="6">
        <f t="shared" si="46"/>
        <v>0</v>
      </c>
      <c r="BD46" s="6">
        <f t="shared" si="47"/>
        <v>0</v>
      </c>
      <c r="BE46" s="6">
        <f t="shared" si="48"/>
        <v>0</v>
      </c>
      <c r="BG46" s="14">
        <f t="shared" si="49"/>
        <v>1021.1477870867955</v>
      </c>
      <c r="BH46" s="11">
        <f>BG46-Direct_Capex_Totals!V30</f>
        <v>0</v>
      </c>
      <c r="BJ46" s="38">
        <f t="shared" si="50"/>
        <v>297.93870789634758</v>
      </c>
      <c r="BK46" s="38">
        <f t="shared" si="51"/>
        <v>152.39408410209418</v>
      </c>
      <c r="BL46" s="38">
        <f t="shared" si="52"/>
        <v>0</v>
      </c>
      <c r="BM46" s="38">
        <f t="shared" si="53"/>
        <v>570.81499508835361</v>
      </c>
      <c r="BN46" s="38">
        <f t="shared" si="54"/>
        <v>0</v>
      </c>
    </row>
    <row r="47" spans="2:68" x14ac:dyDescent="0.25">
      <c r="B47" s="164" t="str">
        <f>STN_5</f>
        <v>SLE</v>
      </c>
      <c r="C47" s="17">
        <f>Schedule!C24</f>
        <v>43692</v>
      </c>
      <c r="D47" s="17">
        <f>Schedule!D24</f>
        <v>44166</v>
      </c>
      <c r="E47" s="20">
        <f>Schedule!E24</f>
        <v>44652</v>
      </c>
      <c r="F47" s="677" t="s">
        <v>44</v>
      </c>
      <c r="G47" s="677" t="s">
        <v>19</v>
      </c>
      <c r="H47" s="676" t="str">
        <f t="shared" si="39"/>
        <v>Distribution system assetsReplacement</v>
      </c>
      <c r="I47" s="365">
        <f>Direct_Capex_Totals!Q31</f>
        <v>390.64430380268294</v>
      </c>
      <c r="J47" s="365">
        <f>Direct_Capex_Totals!R31</f>
        <v>199.81250945218281</v>
      </c>
      <c r="K47" s="365">
        <f>Direct_Capex_Totals!S31</f>
        <v>0</v>
      </c>
      <c r="L47" s="365">
        <f>Direct_Capex_Totals!T31</f>
        <v>748.42784924071748</v>
      </c>
      <c r="M47" s="365">
        <f>Direct_Capex_Totals!U31</f>
        <v>0</v>
      </c>
      <c r="N47" s="6"/>
      <c r="O47" s="6"/>
      <c r="Q47" s="46"/>
      <c r="R47" s="38">
        <f>I47</f>
        <v>390.64430380268294</v>
      </c>
      <c r="S47" s="6"/>
      <c r="T47" s="6"/>
      <c r="U47" s="6"/>
      <c r="V47" s="6"/>
      <c r="W47" s="6"/>
      <c r="X47" s="38"/>
      <c r="Y47" s="38"/>
      <c r="Z47" s="191">
        <f>$J47*0.1</f>
        <v>19.981250945218282</v>
      </c>
      <c r="AA47" s="191">
        <f>$J47*0.3</f>
        <v>59.943752835654841</v>
      </c>
      <c r="AB47" s="191">
        <f>$J47*0.3</f>
        <v>59.943752835654841</v>
      </c>
      <c r="AC47" s="191">
        <f>$J47*0.3</f>
        <v>59.943752835654841</v>
      </c>
      <c r="AD47" s="6"/>
      <c r="AE47" s="6"/>
      <c r="AF47" s="6"/>
      <c r="AG47" s="6"/>
      <c r="AI47" s="324">
        <f>K47</f>
        <v>0</v>
      </c>
      <c r="AJ47" s="191">
        <f>L47*0.1</f>
        <v>74.842784924071751</v>
      </c>
      <c r="AK47" s="191">
        <f>$L47*0.5</f>
        <v>374.21392462035874</v>
      </c>
      <c r="AL47" s="191">
        <f>$L47*0.4</f>
        <v>299.371139696287</v>
      </c>
      <c r="AM47" s="38"/>
      <c r="AN47" s="38"/>
      <c r="AO47" s="38"/>
      <c r="AP47" s="38"/>
      <c r="AQ47" s="38"/>
      <c r="AR47" s="46"/>
      <c r="AS47" s="46"/>
      <c r="AT47" s="38"/>
      <c r="AU47" s="38"/>
      <c r="AV47" s="6"/>
      <c r="AW47" s="6"/>
      <c r="AX47" s="6">
        <f t="shared" si="41"/>
        <v>0</v>
      </c>
      <c r="AY47" s="6">
        <f t="shared" si="42"/>
        <v>0</v>
      </c>
      <c r="AZ47" s="6">
        <f t="shared" si="43"/>
        <v>0</v>
      </c>
      <c r="BA47" s="6">
        <f t="shared" si="44"/>
        <v>19.981250945218282</v>
      </c>
      <c r="BB47" s="6">
        <f t="shared" si="45"/>
        <v>525.43084156240957</v>
      </c>
      <c r="BC47" s="6">
        <f t="shared" si="46"/>
        <v>434.15767745601357</v>
      </c>
      <c r="BD47" s="6">
        <f t="shared" si="47"/>
        <v>359.31489253194184</v>
      </c>
      <c r="BE47" s="6">
        <f t="shared" si="48"/>
        <v>0</v>
      </c>
      <c r="BG47" s="14">
        <f t="shared" si="49"/>
        <v>1338.8846624955831</v>
      </c>
      <c r="BH47" s="11">
        <f>BG47-Direct_Capex_Totals!V31</f>
        <v>0</v>
      </c>
      <c r="BJ47" s="38">
        <f t="shared" si="50"/>
        <v>390.64430380268294</v>
      </c>
      <c r="BK47" s="38">
        <f t="shared" si="51"/>
        <v>79.925003780873126</v>
      </c>
      <c r="BL47" s="38">
        <f t="shared" si="52"/>
        <v>0</v>
      </c>
      <c r="BM47" s="38">
        <f t="shared" si="53"/>
        <v>74.842784924071751</v>
      </c>
      <c r="BN47" s="38">
        <f t="shared" si="54"/>
        <v>0</v>
      </c>
    </row>
    <row r="48" spans="2:68" x14ac:dyDescent="0.25">
      <c r="B48" s="164" t="str">
        <f>STN_9</f>
        <v>KLO2</v>
      </c>
      <c r="C48" s="17">
        <f>Schedule!C25</f>
        <v>0</v>
      </c>
      <c r="D48" s="17">
        <f>Schedule!D25</f>
        <v>0</v>
      </c>
      <c r="E48" s="20">
        <f>Schedule!E25</f>
        <v>0</v>
      </c>
      <c r="F48" s="677" t="s">
        <v>44</v>
      </c>
      <c r="G48" s="677" t="s">
        <v>19</v>
      </c>
      <c r="H48" s="676" t="str">
        <f t="shared" si="39"/>
        <v>Distribution system assetsReplacement</v>
      </c>
      <c r="I48" s="365">
        <f>Direct_Capex_Totals!Q32</f>
        <v>0</v>
      </c>
      <c r="J48" s="365">
        <f>Direct_Capex_Totals!R32</f>
        <v>0</v>
      </c>
      <c r="K48" s="365">
        <f>Direct_Capex_Totals!S32</f>
        <v>0</v>
      </c>
      <c r="L48" s="365">
        <f>Direct_Capex_Totals!T32</f>
        <v>0</v>
      </c>
      <c r="M48" s="365">
        <f>Direct_Capex_Totals!U32</f>
        <v>0</v>
      </c>
      <c r="N48" s="6"/>
      <c r="O48" s="6"/>
      <c r="Q48" s="46"/>
      <c r="R48" s="38"/>
      <c r="S48" s="6"/>
      <c r="T48" s="6"/>
      <c r="U48" s="6"/>
      <c r="V48" s="6"/>
      <c r="W48" s="6"/>
      <c r="X48" s="38"/>
      <c r="Y48" s="38"/>
      <c r="Z48" s="191"/>
      <c r="AA48" s="191"/>
      <c r="AB48" s="38"/>
      <c r="AC48" s="38"/>
      <c r="AD48" s="38"/>
      <c r="AE48" s="38"/>
      <c r="AF48" s="38"/>
      <c r="AG48" s="38"/>
      <c r="AH48" s="46"/>
      <c r="AI48" s="324"/>
      <c r="AJ48" s="324"/>
      <c r="AK48" s="38"/>
      <c r="AL48" s="38"/>
      <c r="AM48" s="38"/>
      <c r="AN48" s="38"/>
      <c r="AO48" s="38"/>
      <c r="AP48" s="38"/>
      <c r="AQ48" s="38"/>
      <c r="AR48" s="46"/>
      <c r="AS48" s="46"/>
      <c r="AT48" s="38"/>
      <c r="AU48" s="38"/>
      <c r="AV48" s="6"/>
      <c r="AW48" s="6"/>
      <c r="AX48" s="6">
        <f t="shared" si="41"/>
        <v>0</v>
      </c>
      <c r="AY48" s="6">
        <f t="shared" si="42"/>
        <v>0</v>
      </c>
      <c r="AZ48" s="6">
        <f t="shared" si="43"/>
        <v>0</v>
      </c>
      <c r="BA48" s="6">
        <f t="shared" si="44"/>
        <v>0</v>
      </c>
      <c r="BB48" s="6">
        <f t="shared" si="45"/>
        <v>0</v>
      </c>
      <c r="BC48" s="6">
        <f t="shared" si="46"/>
        <v>0</v>
      </c>
      <c r="BD48" s="6">
        <f t="shared" si="47"/>
        <v>0</v>
      </c>
      <c r="BE48" s="6">
        <f t="shared" si="48"/>
        <v>0</v>
      </c>
      <c r="BG48" s="14">
        <f t="shared" si="49"/>
        <v>0</v>
      </c>
      <c r="BH48" s="11">
        <f>BG48-Direct_Capex_Totals!V32</f>
        <v>0</v>
      </c>
      <c r="BJ48" s="38">
        <f t="shared" si="50"/>
        <v>0</v>
      </c>
      <c r="BK48" s="38">
        <f t="shared" si="51"/>
        <v>0</v>
      </c>
      <c r="BL48" s="38">
        <f t="shared" si="52"/>
        <v>0</v>
      </c>
      <c r="BM48" s="38">
        <f t="shared" si="53"/>
        <v>0</v>
      </c>
      <c r="BN48" s="38">
        <f t="shared" si="54"/>
        <v>0</v>
      </c>
    </row>
    <row r="49" spans="2:66" x14ac:dyDescent="0.25">
      <c r="C49" s="46"/>
      <c r="D49" s="46"/>
      <c r="E49" s="20"/>
      <c r="F49" s="677"/>
      <c r="G49" s="677"/>
      <c r="H49" s="677"/>
      <c r="I49" s="8"/>
      <c r="J49" s="8"/>
      <c r="K49" s="8"/>
      <c r="L49" s="8"/>
      <c r="M49" s="8"/>
      <c r="N49" s="6"/>
      <c r="O49" s="6"/>
      <c r="Q49" s="46"/>
      <c r="R49" s="38"/>
      <c r="S49" s="6"/>
      <c r="T49" s="6"/>
      <c r="U49" s="6"/>
      <c r="V49" s="6"/>
      <c r="W49" s="6"/>
      <c r="X49" s="38"/>
      <c r="Y49" s="38"/>
      <c r="Z49" s="46"/>
      <c r="AA49" s="46"/>
      <c r="AB49" s="38"/>
      <c r="AC49" s="38"/>
      <c r="AD49" s="6"/>
      <c r="AE49" s="6"/>
      <c r="AF49" s="6"/>
      <c r="AG49" s="6"/>
      <c r="AI49" s="46"/>
      <c r="AJ49" s="46"/>
      <c r="AK49" s="38"/>
      <c r="AL49" s="38"/>
      <c r="AM49" s="38"/>
      <c r="AN49" s="38"/>
      <c r="AO49" s="38"/>
      <c r="AP49" s="38"/>
      <c r="AQ49" s="38"/>
      <c r="AR49" s="46"/>
      <c r="AS49" s="46"/>
      <c r="AT49" s="38"/>
      <c r="AU49" s="38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2:66" x14ac:dyDescent="0.25">
      <c r="B50" s="25" t="s">
        <v>475</v>
      </c>
      <c r="C50" s="46"/>
      <c r="D50" s="46"/>
      <c r="E50" s="20"/>
      <c r="F50" s="677"/>
      <c r="G50" s="677"/>
      <c r="H50" s="677"/>
      <c r="I50" s="8"/>
      <c r="J50" s="8"/>
      <c r="K50" s="8"/>
      <c r="L50" s="8"/>
      <c r="M50" s="8"/>
      <c r="N50" s="6"/>
      <c r="O50" s="6"/>
      <c r="Q50" s="46"/>
      <c r="R50" s="38"/>
      <c r="S50" s="6"/>
      <c r="T50" s="6"/>
      <c r="U50" s="6"/>
      <c r="V50" s="6"/>
      <c r="W50" s="6"/>
      <c r="X50" s="38"/>
      <c r="Y50" s="38"/>
      <c r="Z50" s="46"/>
      <c r="AA50" s="46"/>
      <c r="AB50" s="38"/>
      <c r="AC50" s="38"/>
      <c r="AD50" s="6"/>
      <c r="AE50" s="6"/>
      <c r="AF50" s="6"/>
      <c r="AG50" s="6"/>
      <c r="AI50" s="46"/>
      <c r="AJ50" s="46"/>
      <c r="AK50" s="38"/>
      <c r="AL50" s="38"/>
      <c r="AM50" s="38"/>
      <c r="AN50" s="38"/>
      <c r="AO50" s="38"/>
      <c r="AP50" s="38"/>
      <c r="AQ50" s="38"/>
      <c r="AR50" s="46"/>
      <c r="AS50" s="46"/>
      <c r="AT50" s="38"/>
      <c r="AU50" s="38"/>
      <c r="AV50" s="6"/>
      <c r="AW50" s="6"/>
      <c r="AX50" s="6"/>
      <c r="AY50" s="6"/>
      <c r="AZ50" s="6"/>
      <c r="BA50" s="6"/>
      <c r="BB50" s="6"/>
      <c r="BC50" s="6"/>
      <c r="BD50" s="6"/>
      <c r="BE50" s="6"/>
      <c r="BJ50" s="482" t="s">
        <v>151</v>
      </c>
      <c r="BK50" s="493" t="s">
        <v>63</v>
      </c>
      <c r="BL50" s="493" t="s">
        <v>7</v>
      </c>
      <c r="BM50" s="650" t="s">
        <v>380</v>
      </c>
      <c r="BN50" s="650" t="s">
        <v>77</v>
      </c>
    </row>
    <row r="51" spans="2:66" x14ac:dyDescent="0.25">
      <c r="B51" s="164" t="str">
        <f>STN_1</f>
        <v>BN</v>
      </c>
      <c r="C51" s="17">
        <f>Schedule!C28</f>
        <v>43692</v>
      </c>
      <c r="D51" s="17">
        <f>Schedule!D28</f>
        <v>44105</v>
      </c>
      <c r="E51" s="17">
        <f>Schedule!E28</f>
        <v>44715</v>
      </c>
      <c r="F51" s="677" t="s">
        <v>44</v>
      </c>
      <c r="G51" s="677" t="s">
        <v>19</v>
      </c>
      <c r="H51" s="676" t="str">
        <f t="shared" ref="H51:H56" si="55">G51&amp;F51</f>
        <v>Distribution system assetsReplacement</v>
      </c>
      <c r="I51" s="365">
        <f>Direct_Capex_Totals!Q37</f>
        <v>160.29193859091572</v>
      </c>
      <c r="J51" s="365">
        <f>Direct_Capex_Totals!R37</f>
        <v>80.441681901279679</v>
      </c>
      <c r="K51" s="365">
        <f>Direct_Capex_Totals!S37</f>
        <v>0</v>
      </c>
      <c r="L51" s="365">
        <f>Direct_Capex_Totals!T37</f>
        <v>1368.0455384324616</v>
      </c>
      <c r="M51" s="365">
        <f>Direct_Capex_Totals!U37</f>
        <v>0</v>
      </c>
      <c r="N51" s="6"/>
      <c r="O51" s="6"/>
      <c r="Q51" s="46"/>
      <c r="R51" s="38">
        <f>I51</f>
        <v>160.29193859091572</v>
      </c>
      <c r="S51" s="6"/>
      <c r="T51" s="6"/>
      <c r="U51" s="6"/>
      <c r="V51" s="6"/>
      <c r="W51" s="6"/>
      <c r="X51" s="38"/>
      <c r="Y51" s="38"/>
      <c r="Z51" s="191">
        <f>$J51*0.1</f>
        <v>8.0441681901279676</v>
      </c>
      <c r="AA51" s="191">
        <f t="shared" ref="AA51:AC53" si="56">$J51*0.3</f>
        <v>24.132504570383905</v>
      </c>
      <c r="AB51" s="191">
        <f t="shared" si="56"/>
        <v>24.132504570383905</v>
      </c>
      <c r="AC51" s="191">
        <f t="shared" si="56"/>
        <v>24.132504570383905</v>
      </c>
      <c r="AD51" s="6"/>
      <c r="AE51" s="6"/>
      <c r="AF51" s="6"/>
      <c r="AG51" s="6"/>
      <c r="AI51" s="191">
        <f>K51</f>
        <v>0</v>
      </c>
      <c r="AJ51" s="191">
        <f>L51*0.1</f>
        <v>136.80455384324617</v>
      </c>
      <c r="AK51" s="191">
        <f>$L51*0.5</f>
        <v>684.02276921623081</v>
      </c>
      <c r="AL51" s="191">
        <f>$L51*0.4</f>
        <v>547.21821537298467</v>
      </c>
      <c r="AM51" s="38"/>
      <c r="AN51" s="38"/>
      <c r="AO51" s="38"/>
      <c r="AP51" s="38"/>
      <c r="AQ51" s="38"/>
      <c r="AR51" s="46"/>
      <c r="AS51" s="46"/>
      <c r="AT51" s="38"/>
      <c r="AU51" s="38"/>
      <c r="AV51" s="6"/>
      <c r="AW51" s="6"/>
      <c r="AX51" s="6">
        <f t="shared" ref="AX51:AX56" si="57">N51+W51+AF51+AO51</f>
        <v>0</v>
      </c>
      <c r="AY51" s="6">
        <f t="shared" ref="AY51:AY56" si="58">O51+X51+AG51+AP51</f>
        <v>0</v>
      </c>
      <c r="AZ51" s="6">
        <f t="shared" ref="AZ51:AZ56" si="59">P51+Y51+AH51+AQ51</f>
        <v>0</v>
      </c>
      <c r="BA51" s="6">
        <f t="shared" ref="BA51:BA56" si="60">Q51+Z51+AI51+AR51</f>
        <v>8.0441681901279676</v>
      </c>
      <c r="BB51" s="6">
        <f t="shared" ref="BB51:BB56" si="61">R51+AA51+AJ51+AS51</f>
        <v>321.22899700454582</v>
      </c>
      <c r="BC51" s="6">
        <f t="shared" ref="BC51:BC56" si="62">SUM(S51,AB51,AK51,AT51)</f>
        <v>708.15527378661477</v>
      </c>
      <c r="BD51" s="6">
        <f t="shared" si="47"/>
        <v>571.35071994336863</v>
      </c>
      <c r="BE51" s="6">
        <f t="shared" si="48"/>
        <v>0</v>
      </c>
      <c r="BG51" s="14">
        <f t="shared" ref="BG51:BG56" si="63">SUM(AX51:BE51)</f>
        <v>1608.7791589246572</v>
      </c>
      <c r="BH51" s="19">
        <f>BG51-Direct_Capex_Totals!V37</f>
        <v>0</v>
      </c>
      <c r="BJ51" s="38">
        <f t="shared" ref="BJ51:BJ56" si="64">SUMIFS($N51:$U51,$N$4:$U$4,"&lt;=2020")</f>
        <v>160.29193859091572</v>
      </c>
      <c r="BK51" s="38">
        <f t="shared" ref="BK51:BK56" si="65">SUMIFS($W51:$AD51,$W$4:$AD$4,"&lt;=2020")</f>
        <v>32.17667276051187</v>
      </c>
      <c r="BL51" s="38">
        <f t="shared" ref="BL51:BL56" si="66">SUMIFS($K51,$C51,"&lt;=31/12/2020")</f>
        <v>0</v>
      </c>
      <c r="BM51" s="38">
        <f t="shared" ref="BM51:BM56" si="67">SUMIFS($AF51:$AM51,$AF$4:$AM$4,"&lt;=2020")-BL51</f>
        <v>136.80455384324617</v>
      </c>
      <c r="BN51" s="38">
        <f t="shared" ref="BN51:BN56" si="68">SUMIFS($AO51:$AV51,$AO$4:$AV$4,"&lt;=2020")</f>
        <v>0</v>
      </c>
    </row>
    <row r="52" spans="2:66" x14ac:dyDescent="0.25">
      <c r="B52" s="164" t="str">
        <f>STN_2</f>
        <v>KLO</v>
      </c>
      <c r="C52" s="17">
        <f>Schedule!C29</f>
        <v>43692</v>
      </c>
      <c r="D52" s="17">
        <f>Schedule!D29</f>
        <v>44197</v>
      </c>
      <c r="E52" s="17">
        <f>Schedule!E29</f>
        <v>44896</v>
      </c>
      <c r="F52" s="677" t="s">
        <v>44</v>
      </c>
      <c r="G52" s="677" t="s">
        <v>19</v>
      </c>
      <c r="H52" s="676" t="str">
        <f t="shared" si="55"/>
        <v>Distribution system assetsReplacement</v>
      </c>
      <c r="I52" s="365">
        <f>Direct_Capex_Totals!Q38</f>
        <v>45.102472334946782</v>
      </c>
      <c r="J52" s="365">
        <f>Direct_Capex_Totals!R38</f>
        <v>60.331261425959767</v>
      </c>
      <c r="K52" s="365">
        <f>Direct_Capex_Totals!S38</f>
        <v>0</v>
      </c>
      <c r="L52" s="365">
        <f>Direct_Capex_Totals!T38</f>
        <v>311.48290478088853</v>
      </c>
      <c r="M52" s="365">
        <f>Direct_Capex_Totals!U38</f>
        <v>0</v>
      </c>
      <c r="N52" s="6"/>
      <c r="O52" s="6"/>
      <c r="Q52" s="46"/>
      <c r="R52" s="38">
        <f>I52</f>
        <v>45.102472334946782</v>
      </c>
      <c r="S52" s="6"/>
      <c r="T52" s="6"/>
      <c r="U52" s="6"/>
      <c r="V52" s="6"/>
      <c r="W52" s="6"/>
      <c r="X52" s="38"/>
      <c r="Y52" s="38"/>
      <c r="Z52" s="191">
        <f>$J52*0.1</f>
        <v>6.033126142595977</v>
      </c>
      <c r="AA52" s="191">
        <f t="shared" si="56"/>
        <v>18.099378427787929</v>
      </c>
      <c r="AB52" s="191">
        <f t="shared" si="56"/>
        <v>18.099378427787929</v>
      </c>
      <c r="AC52" s="191">
        <f t="shared" si="56"/>
        <v>18.099378427787929</v>
      </c>
      <c r="AD52" s="6"/>
      <c r="AE52" s="6"/>
      <c r="AF52" s="6"/>
      <c r="AG52" s="6"/>
      <c r="AI52" s="191">
        <f>K52</f>
        <v>0</v>
      </c>
      <c r="AJ52" s="191">
        <f>L52*0.1</f>
        <v>31.148290478088853</v>
      </c>
      <c r="AK52" s="191">
        <f>$L52*0.5</f>
        <v>155.74145239044427</v>
      </c>
      <c r="AL52" s="191">
        <f>$L52*0.4</f>
        <v>124.59316191235541</v>
      </c>
      <c r="AM52" s="38"/>
      <c r="AN52" s="38"/>
      <c r="AO52" s="38"/>
      <c r="AP52" s="38"/>
      <c r="AQ52" s="38"/>
      <c r="AR52" s="46"/>
      <c r="AS52" s="46"/>
      <c r="AT52" s="38"/>
      <c r="AU52" s="38"/>
      <c r="AV52" s="6"/>
      <c r="AW52" s="6"/>
      <c r="AX52" s="6">
        <f t="shared" si="57"/>
        <v>0</v>
      </c>
      <c r="AY52" s="6">
        <f t="shared" si="58"/>
        <v>0</v>
      </c>
      <c r="AZ52" s="6">
        <f t="shared" si="59"/>
        <v>0</v>
      </c>
      <c r="BA52" s="6">
        <f t="shared" si="60"/>
        <v>6.033126142595977</v>
      </c>
      <c r="BB52" s="6">
        <f t="shared" si="61"/>
        <v>94.350141240823561</v>
      </c>
      <c r="BC52" s="6">
        <f t="shared" si="62"/>
        <v>173.84083081823221</v>
      </c>
      <c r="BD52" s="6">
        <f t="shared" si="47"/>
        <v>142.69254034014335</v>
      </c>
      <c r="BE52" s="6">
        <f t="shared" si="48"/>
        <v>0</v>
      </c>
      <c r="BG52" s="14">
        <f t="shared" si="63"/>
        <v>416.91663854179507</v>
      </c>
      <c r="BH52" s="19">
        <f>BG52-Direct_Capex_Totals!V38</f>
        <v>0</v>
      </c>
      <c r="BJ52" s="38">
        <f t="shared" si="64"/>
        <v>45.102472334946782</v>
      </c>
      <c r="BK52" s="38">
        <f t="shared" si="65"/>
        <v>24.132504570383908</v>
      </c>
      <c r="BL52" s="38">
        <f t="shared" si="66"/>
        <v>0</v>
      </c>
      <c r="BM52" s="38">
        <f t="shared" si="67"/>
        <v>31.148290478088853</v>
      </c>
      <c r="BN52" s="38">
        <f t="shared" si="68"/>
        <v>0</v>
      </c>
    </row>
    <row r="53" spans="2:66" x14ac:dyDescent="0.25">
      <c r="B53" s="164" t="str">
        <f>STN_3</f>
        <v>LLG</v>
      </c>
      <c r="C53" s="17">
        <f>Schedule!C30</f>
        <v>43692</v>
      </c>
      <c r="D53" s="17">
        <f>Schedule!D30</f>
        <v>44136</v>
      </c>
      <c r="E53" s="17">
        <f>Schedule!E30</f>
        <v>44621</v>
      </c>
      <c r="F53" s="677" t="s">
        <v>44</v>
      </c>
      <c r="G53" s="677" t="s">
        <v>19</v>
      </c>
      <c r="H53" s="676" t="str">
        <f t="shared" si="55"/>
        <v>Distribution system assetsReplacement</v>
      </c>
      <c r="I53" s="365">
        <f>Direct_Capex_Totals!Q39</f>
        <v>38.263091803973339</v>
      </c>
      <c r="J53" s="365">
        <f>Direct_Capex_Totals!R39</f>
        <v>40.22084095063984</v>
      </c>
      <c r="K53" s="365">
        <f>Direct_Capex_Totals!S39</f>
        <v>0</v>
      </c>
      <c r="L53" s="365">
        <f>Direct_Capex_Totals!T39</f>
        <v>244.97624934154859</v>
      </c>
      <c r="M53" s="365">
        <f>Direct_Capex_Totals!U39</f>
        <v>0</v>
      </c>
      <c r="N53" s="6"/>
      <c r="O53" s="6"/>
      <c r="Q53" s="46"/>
      <c r="R53" s="38">
        <f>I53</f>
        <v>38.263091803973339</v>
      </c>
      <c r="S53" s="6"/>
      <c r="T53" s="6"/>
      <c r="U53" s="6"/>
      <c r="V53" s="6"/>
      <c r="W53" s="6"/>
      <c r="X53" s="38"/>
      <c r="Y53" s="38"/>
      <c r="Z53" s="191">
        <f>$J53*0.1</f>
        <v>4.0220840950639838</v>
      </c>
      <c r="AA53" s="191">
        <f t="shared" si="56"/>
        <v>12.066252285191952</v>
      </c>
      <c r="AB53" s="191">
        <f t="shared" si="56"/>
        <v>12.066252285191952</v>
      </c>
      <c r="AC53" s="191">
        <f t="shared" si="56"/>
        <v>12.066252285191952</v>
      </c>
      <c r="AD53" s="6"/>
      <c r="AE53" s="6"/>
      <c r="AF53" s="6"/>
      <c r="AG53" s="6"/>
      <c r="AI53" s="191">
        <f>K53</f>
        <v>0</v>
      </c>
      <c r="AJ53" s="191">
        <f>L53*0.1</f>
        <v>24.49762493415486</v>
      </c>
      <c r="AK53" s="191">
        <f>$L53*0.5</f>
        <v>122.4881246707743</v>
      </c>
      <c r="AL53" s="191">
        <f>$L53*0.4</f>
        <v>97.990499736619441</v>
      </c>
      <c r="AM53" s="38"/>
      <c r="AN53" s="38"/>
      <c r="AO53" s="38"/>
      <c r="AP53" s="38"/>
      <c r="AQ53" s="38"/>
      <c r="AR53" s="46"/>
      <c r="AS53" s="46"/>
      <c r="AT53" s="38"/>
      <c r="AU53" s="38"/>
      <c r="AV53" s="6"/>
      <c r="AW53" s="6"/>
      <c r="AX53" s="6">
        <f t="shared" si="57"/>
        <v>0</v>
      </c>
      <c r="AY53" s="6">
        <f t="shared" si="58"/>
        <v>0</v>
      </c>
      <c r="AZ53" s="6">
        <f t="shared" si="59"/>
        <v>0</v>
      </c>
      <c r="BA53" s="6">
        <f t="shared" si="60"/>
        <v>4.0220840950639838</v>
      </c>
      <c r="BB53" s="6">
        <f t="shared" si="61"/>
        <v>74.826969023320146</v>
      </c>
      <c r="BC53" s="6">
        <f t="shared" si="62"/>
        <v>134.55437695596626</v>
      </c>
      <c r="BD53" s="6">
        <f t="shared" si="47"/>
        <v>110.05675202181139</v>
      </c>
      <c r="BE53" s="6">
        <f t="shared" si="48"/>
        <v>0</v>
      </c>
      <c r="BG53" s="14">
        <f t="shared" si="63"/>
        <v>323.46018209616182</v>
      </c>
      <c r="BH53" s="19">
        <f>BG53-Direct_Capex_Totals!V39</f>
        <v>0</v>
      </c>
      <c r="BJ53" s="38">
        <f t="shared" si="64"/>
        <v>38.263091803973339</v>
      </c>
      <c r="BK53" s="38">
        <f t="shared" si="65"/>
        <v>16.088336380255935</v>
      </c>
      <c r="BL53" s="38">
        <f t="shared" si="66"/>
        <v>0</v>
      </c>
      <c r="BM53" s="38">
        <f t="shared" si="67"/>
        <v>24.49762493415486</v>
      </c>
      <c r="BN53" s="38">
        <f t="shared" si="68"/>
        <v>0</v>
      </c>
    </row>
    <row r="54" spans="2:66" x14ac:dyDescent="0.25">
      <c r="B54" s="164" t="str">
        <f>STN_4</f>
        <v>MSD</v>
      </c>
      <c r="C54" s="17">
        <f>Schedule!C31</f>
        <v>43238</v>
      </c>
      <c r="D54" s="17">
        <f>Schedule!D31</f>
        <v>43525</v>
      </c>
      <c r="E54" s="17">
        <f>Schedule!E31</f>
        <v>44061</v>
      </c>
      <c r="F54" s="677" t="s">
        <v>44</v>
      </c>
      <c r="G54" s="677" t="s">
        <v>19</v>
      </c>
      <c r="H54" s="676" t="str">
        <f t="shared" si="55"/>
        <v>Distribution system assetsReplacement</v>
      </c>
      <c r="I54" s="365">
        <f>Direct_Capex_Totals!Q40</f>
        <v>29.447513812154696</v>
      </c>
      <c r="J54" s="365">
        <f>Direct_Capex_Totals!R40</f>
        <v>50.276051188299796</v>
      </c>
      <c r="K54" s="365">
        <f>Direct_Capex_Totals!S40</f>
        <v>0</v>
      </c>
      <c r="L54" s="365">
        <f>Direct_Capex_Totals!T40</f>
        <v>95.704419889502759</v>
      </c>
      <c r="M54" s="365">
        <f>Direct_Capex_Totals!U40</f>
        <v>0</v>
      </c>
      <c r="N54" s="6"/>
      <c r="O54" s="6"/>
      <c r="Q54" s="324">
        <f>I54</f>
        <v>29.447513812154696</v>
      </c>
      <c r="R54" s="38"/>
      <c r="S54" s="6"/>
      <c r="T54" s="6"/>
      <c r="U54" s="6"/>
      <c r="V54" s="6"/>
      <c r="W54" s="6"/>
      <c r="X54" s="38"/>
      <c r="Y54" s="38"/>
      <c r="Z54" s="38">
        <f>$J54*0.5</f>
        <v>25.138025594149898</v>
      </c>
      <c r="AA54" s="38">
        <f>$J54*0.5</f>
        <v>25.138025594149898</v>
      </c>
      <c r="AB54" s="38"/>
      <c r="AC54" s="38"/>
      <c r="AD54" s="6"/>
      <c r="AE54" s="6"/>
      <c r="AF54" s="6"/>
      <c r="AG54" s="6"/>
      <c r="AI54" s="38">
        <f>K54+$L54*0.5</f>
        <v>47.85220994475138</v>
      </c>
      <c r="AJ54" s="38">
        <f>$L54*0.5</f>
        <v>47.85220994475138</v>
      </c>
      <c r="AK54" s="38"/>
      <c r="AL54" s="38"/>
      <c r="AM54" s="38"/>
      <c r="AN54" s="38"/>
      <c r="AO54" s="38"/>
      <c r="AP54" s="38"/>
      <c r="AQ54" s="38"/>
      <c r="AR54" s="46"/>
      <c r="AS54" s="46"/>
      <c r="AT54" s="38"/>
      <c r="AU54" s="38"/>
      <c r="AV54" s="6"/>
      <c r="AW54" s="6"/>
      <c r="AX54" s="6">
        <f t="shared" si="57"/>
        <v>0</v>
      </c>
      <c r="AY54" s="6">
        <f t="shared" si="58"/>
        <v>0</v>
      </c>
      <c r="AZ54" s="6">
        <f t="shared" si="59"/>
        <v>0</v>
      </c>
      <c r="BA54" s="6">
        <f t="shared" si="60"/>
        <v>102.43774935105597</v>
      </c>
      <c r="BB54" s="6">
        <f t="shared" si="61"/>
        <v>72.990235538901274</v>
      </c>
      <c r="BC54" s="6">
        <f t="shared" si="62"/>
        <v>0</v>
      </c>
      <c r="BD54" s="6">
        <f t="shared" si="47"/>
        <v>0</v>
      </c>
      <c r="BE54" s="6">
        <f t="shared" si="48"/>
        <v>0</v>
      </c>
      <c r="BG54" s="14">
        <f t="shared" si="63"/>
        <v>175.42798488995726</v>
      </c>
      <c r="BH54" s="19">
        <f>BG54-Direct_Capex_Totals!V40</f>
        <v>0</v>
      </c>
      <c r="BJ54" s="38">
        <f t="shared" si="64"/>
        <v>29.447513812154696</v>
      </c>
      <c r="BK54" s="38">
        <f t="shared" si="65"/>
        <v>50.276051188299796</v>
      </c>
      <c r="BL54" s="38">
        <f t="shared" si="66"/>
        <v>0</v>
      </c>
      <c r="BM54" s="38">
        <f t="shared" si="67"/>
        <v>95.704419889502759</v>
      </c>
      <c r="BN54" s="38">
        <f t="shared" si="68"/>
        <v>0</v>
      </c>
    </row>
    <row r="55" spans="2:66" x14ac:dyDescent="0.25">
      <c r="B55" s="164" t="str">
        <f>STN_5</f>
        <v>SLE</v>
      </c>
      <c r="C55" s="17">
        <f>Schedule!C32</f>
        <v>43692</v>
      </c>
      <c r="D55" s="17">
        <f>Schedule!D32</f>
        <v>44166</v>
      </c>
      <c r="E55" s="17">
        <f>Schedule!E32</f>
        <v>44652</v>
      </c>
      <c r="F55" s="677" t="s">
        <v>44</v>
      </c>
      <c r="G55" s="677" t="s">
        <v>19</v>
      </c>
      <c r="H55" s="676" t="str">
        <f t="shared" si="55"/>
        <v>Distribution system assetsReplacement</v>
      </c>
      <c r="I55" s="365">
        <f>Direct_Capex_Totals!Q41</f>
        <v>181.51760230772987</v>
      </c>
      <c r="J55" s="365">
        <f>Direct_Capex_Totals!R41</f>
        <v>50.276051188299796</v>
      </c>
      <c r="K55" s="365">
        <f>Direct_Capex_Totals!S41</f>
        <v>0</v>
      </c>
      <c r="L55" s="365">
        <f>Direct_Capex_Totals!T41</f>
        <v>1574.4455035890337</v>
      </c>
      <c r="M55" s="365">
        <f>Direct_Capex_Totals!U41</f>
        <v>0</v>
      </c>
      <c r="N55" s="6"/>
      <c r="O55" s="6"/>
      <c r="Q55" s="46"/>
      <c r="R55" s="38">
        <f>I55</f>
        <v>181.51760230772987</v>
      </c>
      <c r="S55" s="6"/>
      <c r="T55" s="6"/>
      <c r="U55" s="6"/>
      <c r="V55" s="6"/>
      <c r="W55" s="6"/>
      <c r="X55" s="38"/>
      <c r="Y55" s="38"/>
      <c r="Z55" s="191">
        <f>$J55*0.1</f>
        <v>5.02760511882998</v>
      </c>
      <c r="AA55" s="191">
        <f>$J55*0.3</f>
        <v>15.082815356489938</v>
      </c>
      <c r="AB55" s="191">
        <f>$J55*0.3</f>
        <v>15.082815356489938</v>
      </c>
      <c r="AC55" s="191">
        <f>$J55*0.3</f>
        <v>15.082815356489938</v>
      </c>
      <c r="AD55" s="6"/>
      <c r="AE55" s="6"/>
      <c r="AF55" s="6"/>
      <c r="AG55" s="6"/>
      <c r="AI55" s="191">
        <f>K55</f>
        <v>0</v>
      </c>
      <c r="AJ55" s="191">
        <f>L55*0.1</f>
        <v>157.44455035890337</v>
      </c>
      <c r="AK55" s="191">
        <f>$L55*0.5</f>
        <v>787.22275179451685</v>
      </c>
      <c r="AL55" s="191">
        <f>$L55*0.4</f>
        <v>629.77820143561348</v>
      </c>
      <c r="AM55" s="38"/>
      <c r="AN55" s="38"/>
      <c r="AO55" s="38"/>
      <c r="AP55" s="38"/>
      <c r="AQ55" s="38"/>
      <c r="AR55" s="46"/>
      <c r="AS55" s="46"/>
      <c r="AT55" s="38"/>
      <c r="AU55" s="38"/>
      <c r="AV55" s="6"/>
      <c r="AW55" s="6"/>
      <c r="AX55" s="6">
        <f t="shared" si="57"/>
        <v>0</v>
      </c>
      <c r="AY55" s="6">
        <f t="shared" si="58"/>
        <v>0</v>
      </c>
      <c r="AZ55" s="6">
        <f t="shared" si="59"/>
        <v>0</v>
      </c>
      <c r="BA55" s="6">
        <f t="shared" si="60"/>
        <v>5.02760511882998</v>
      </c>
      <c r="BB55" s="6">
        <f t="shared" si="61"/>
        <v>354.04496802312315</v>
      </c>
      <c r="BC55" s="6">
        <f t="shared" si="62"/>
        <v>802.30556715100681</v>
      </c>
      <c r="BD55" s="6">
        <f t="shared" si="47"/>
        <v>644.86101679210344</v>
      </c>
      <c r="BE55" s="6">
        <f t="shared" si="48"/>
        <v>0</v>
      </c>
      <c r="BG55" s="14">
        <f t="shared" si="63"/>
        <v>1806.2391570850632</v>
      </c>
      <c r="BH55" s="19">
        <f>BG55-Direct_Capex_Totals!V41</f>
        <v>0</v>
      </c>
      <c r="BJ55" s="38">
        <f t="shared" si="64"/>
        <v>181.51760230772987</v>
      </c>
      <c r="BK55" s="38">
        <f t="shared" si="65"/>
        <v>20.11042047531992</v>
      </c>
      <c r="BL55" s="38">
        <f t="shared" si="66"/>
        <v>0</v>
      </c>
      <c r="BM55" s="38">
        <f t="shared" si="67"/>
        <v>157.44455035890337</v>
      </c>
      <c r="BN55" s="38">
        <f t="shared" si="68"/>
        <v>0</v>
      </c>
    </row>
    <row r="56" spans="2:66" x14ac:dyDescent="0.25">
      <c r="B56" s="164" t="str">
        <f>STN_9</f>
        <v>KLO2</v>
      </c>
      <c r="C56" s="17">
        <f>Schedule!C33</f>
        <v>0</v>
      </c>
      <c r="D56" s="17">
        <f>Schedule!D33</f>
        <v>0</v>
      </c>
      <c r="E56" s="17">
        <f>Schedule!E33</f>
        <v>0</v>
      </c>
      <c r="F56" s="677" t="s">
        <v>44</v>
      </c>
      <c r="G56" s="677" t="s">
        <v>19</v>
      </c>
      <c r="H56" s="676" t="str">
        <f t="shared" si="55"/>
        <v>Distribution system assetsReplacement</v>
      </c>
      <c r="I56" s="365">
        <f>Direct_Capex_Totals!Q42</f>
        <v>0</v>
      </c>
      <c r="J56" s="365">
        <f>Direct_Capex_Totals!R42</f>
        <v>0</v>
      </c>
      <c r="K56" s="365">
        <f>Direct_Capex_Totals!S42</f>
        <v>0</v>
      </c>
      <c r="L56" s="365">
        <f>Direct_Capex_Totals!T42</f>
        <v>0</v>
      </c>
      <c r="M56" s="365">
        <f>Direct_Capex_Totals!U42</f>
        <v>0</v>
      </c>
      <c r="N56" s="6"/>
      <c r="O56" s="6"/>
      <c r="Q56" s="46"/>
      <c r="R56" s="38"/>
      <c r="S56" s="6"/>
      <c r="T56" s="6"/>
      <c r="U56" s="6"/>
      <c r="V56" s="6"/>
      <c r="W56" s="6"/>
      <c r="X56" s="38"/>
      <c r="Y56" s="38"/>
      <c r="Z56" s="46"/>
      <c r="AA56" s="46"/>
      <c r="AB56" s="38"/>
      <c r="AC56" s="38"/>
      <c r="AD56" s="6"/>
      <c r="AE56" s="6"/>
      <c r="AF56" s="6"/>
      <c r="AG56" s="6"/>
      <c r="AI56" s="46"/>
      <c r="AJ56" s="46"/>
      <c r="AK56" s="38"/>
      <c r="AL56" s="38"/>
      <c r="AM56" s="38"/>
      <c r="AN56" s="38"/>
      <c r="AO56" s="38"/>
      <c r="AP56" s="38"/>
      <c r="AQ56" s="38"/>
      <c r="AR56" s="46"/>
      <c r="AS56" s="46"/>
      <c r="AT56" s="38"/>
      <c r="AU56" s="38"/>
      <c r="AV56" s="6"/>
      <c r="AW56" s="6"/>
      <c r="AX56" s="6">
        <f t="shared" si="57"/>
        <v>0</v>
      </c>
      <c r="AY56" s="6">
        <f t="shared" si="58"/>
        <v>0</v>
      </c>
      <c r="AZ56" s="6">
        <f t="shared" si="59"/>
        <v>0</v>
      </c>
      <c r="BA56" s="6">
        <f t="shared" si="60"/>
        <v>0</v>
      </c>
      <c r="BB56" s="6">
        <f t="shared" si="61"/>
        <v>0</v>
      </c>
      <c r="BC56" s="6">
        <f t="shared" si="62"/>
        <v>0</v>
      </c>
      <c r="BD56" s="6">
        <f t="shared" si="47"/>
        <v>0</v>
      </c>
      <c r="BE56" s="6">
        <f t="shared" si="48"/>
        <v>0</v>
      </c>
      <c r="BG56" s="14">
        <f t="shared" si="63"/>
        <v>0</v>
      </c>
      <c r="BH56" s="19">
        <f>BG56-Direct_Capex_Totals!V42</f>
        <v>0</v>
      </c>
      <c r="BJ56" s="38">
        <f t="shared" si="64"/>
        <v>0</v>
      </c>
      <c r="BK56" s="38">
        <f t="shared" si="65"/>
        <v>0</v>
      </c>
      <c r="BL56" s="38">
        <f t="shared" si="66"/>
        <v>0</v>
      </c>
      <c r="BM56" s="38">
        <f t="shared" si="67"/>
        <v>0</v>
      </c>
      <c r="BN56" s="38">
        <f t="shared" si="68"/>
        <v>0</v>
      </c>
    </row>
    <row r="57" spans="2:66" x14ac:dyDescent="0.25">
      <c r="C57" s="46"/>
      <c r="D57" s="46"/>
      <c r="E57" s="20"/>
      <c r="F57" s="677"/>
      <c r="G57" s="677"/>
      <c r="H57" s="677"/>
      <c r="I57" s="8"/>
      <c r="J57" s="8"/>
      <c r="K57" s="8"/>
      <c r="L57" s="8"/>
      <c r="M57" s="8"/>
      <c r="N57" s="6"/>
      <c r="O57" s="6"/>
      <c r="Q57" s="46"/>
      <c r="R57" s="38"/>
      <c r="S57" s="6"/>
      <c r="T57" s="6"/>
      <c r="U57" s="6"/>
      <c r="V57" s="6"/>
      <c r="W57" s="6"/>
      <c r="X57" s="38"/>
      <c r="Y57" s="38"/>
      <c r="Z57" s="46"/>
      <c r="AA57" s="46"/>
      <c r="AB57" s="38"/>
      <c r="AC57" s="38"/>
      <c r="AD57" s="6"/>
      <c r="AE57" s="6"/>
      <c r="AF57" s="6"/>
      <c r="AG57" s="6"/>
      <c r="AI57" s="46"/>
      <c r="AJ57" s="46"/>
      <c r="AK57" s="38"/>
      <c r="AL57" s="38"/>
      <c r="AM57" s="38"/>
      <c r="AN57" s="38"/>
      <c r="AO57" s="38"/>
      <c r="AP57" s="38"/>
      <c r="AQ57" s="38"/>
      <c r="AR57" s="46"/>
      <c r="AS57" s="46"/>
      <c r="AT57" s="38"/>
      <c r="AU57" s="38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2:66" x14ac:dyDescent="0.25">
      <c r="B58" s="25" t="s">
        <v>134</v>
      </c>
      <c r="C58" s="46"/>
      <c r="D58" s="46"/>
      <c r="E58" s="20"/>
      <c r="F58" s="677"/>
      <c r="G58" s="677"/>
      <c r="H58" s="677"/>
      <c r="I58" s="8"/>
      <c r="J58" s="8"/>
      <c r="K58" s="8"/>
      <c r="L58" s="8"/>
      <c r="M58" s="8"/>
      <c r="N58" s="6"/>
      <c r="O58" s="6"/>
      <c r="Q58" s="46"/>
      <c r="R58" s="38"/>
      <c r="S58" s="6"/>
      <c r="T58" s="6"/>
      <c r="U58" s="6"/>
      <c r="V58" s="6"/>
      <c r="W58" s="6"/>
      <c r="X58" s="38"/>
      <c r="Y58" s="38"/>
      <c r="Z58" s="46"/>
      <c r="AA58" s="46"/>
      <c r="AB58" s="38"/>
      <c r="AC58" s="38"/>
      <c r="AD58" s="6"/>
      <c r="AE58" s="6"/>
      <c r="AF58" s="6"/>
      <c r="AG58" s="6"/>
      <c r="AI58" s="46"/>
      <c r="AJ58" s="46"/>
      <c r="AK58" s="38"/>
      <c r="AL58" s="38"/>
      <c r="AM58" s="38"/>
      <c r="AN58" s="38"/>
      <c r="AO58" s="38"/>
      <c r="AP58" s="38"/>
      <c r="AQ58" s="38"/>
      <c r="AR58" s="46"/>
      <c r="AS58" s="46"/>
      <c r="AT58" s="38"/>
      <c r="AU58" s="38"/>
      <c r="AV58" s="6"/>
      <c r="AW58" s="6"/>
      <c r="AX58" s="6"/>
      <c r="AY58" s="6"/>
      <c r="AZ58" s="6"/>
      <c r="BA58" s="6"/>
      <c r="BB58" s="6"/>
      <c r="BC58" s="6"/>
      <c r="BD58" s="6"/>
      <c r="BE58" s="6"/>
      <c r="BJ58" s="482" t="s">
        <v>151</v>
      </c>
      <c r="BK58" s="493" t="s">
        <v>63</v>
      </c>
      <c r="BL58" s="493" t="s">
        <v>7</v>
      </c>
      <c r="BM58" s="650" t="s">
        <v>380</v>
      </c>
      <c r="BN58" s="650" t="s">
        <v>77</v>
      </c>
    </row>
    <row r="59" spans="2:66" x14ac:dyDescent="0.25">
      <c r="B59" s="164" t="str">
        <f>STN_1</f>
        <v>BN</v>
      </c>
      <c r="C59" s="17">
        <f>Schedule!C36</f>
        <v>43692</v>
      </c>
      <c r="D59" s="17">
        <f>Schedule!D36</f>
        <v>44105</v>
      </c>
      <c r="E59" s="20">
        <f>Schedule!E36</f>
        <v>44715</v>
      </c>
      <c r="F59" s="677" t="s">
        <v>44</v>
      </c>
      <c r="G59" s="677" t="s">
        <v>19</v>
      </c>
      <c r="H59" s="676" t="str">
        <f t="shared" ref="H59:H64" si="69">G59&amp;F59</f>
        <v>Distribution system assetsReplacement</v>
      </c>
      <c r="I59" s="365">
        <f>Direct_Capex_Totals!Q47</f>
        <v>191.91330093717454</v>
      </c>
      <c r="J59" s="365">
        <f>Direct_Capex_Totals!R47</f>
        <v>61.918097014925635</v>
      </c>
      <c r="K59" s="365">
        <f>Direct_Capex_Totals!S47</f>
        <v>39.511561957653583</v>
      </c>
      <c r="L59" s="365">
        <f>Direct_Capex_Totals!T47</f>
        <v>214.49133634154799</v>
      </c>
      <c r="M59" s="365">
        <f>Direct_Capex_Totals!U47</f>
        <v>56.445088510933687</v>
      </c>
      <c r="N59" s="6"/>
      <c r="O59" s="6"/>
      <c r="Q59" s="46"/>
      <c r="R59" s="38">
        <f>I59</f>
        <v>191.91330093717454</v>
      </c>
      <c r="S59" s="6"/>
      <c r="T59" s="6"/>
      <c r="U59" s="6"/>
      <c r="V59" s="6"/>
      <c r="W59" s="6"/>
      <c r="X59" s="38"/>
      <c r="Y59" s="38"/>
      <c r="Z59" s="191">
        <f>$J59*0.1</f>
        <v>6.1918097014925637</v>
      </c>
      <c r="AA59" s="191">
        <f t="shared" ref="AA59:AC61" si="70">$J59*0.3</f>
        <v>18.575429104477688</v>
      </c>
      <c r="AB59" s="191">
        <f t="shared" si="70"/>
        <v>18.575429104477688</v>
      </c>
      <c r="AC59" s="191">
        <f t="shared" si="70"/>
        <v>18.575429104477688</v>
      </c>
      <c r="AD59" s="6"/>
      <c r="AE59" s="6"/>
      <c r="AF59" s="6"/>
      <c r="AG59" s="6"/>
      <c r="AI59" s="191">
        <f>$K59*0.2</f>
        <v>7.9023123915307174</v>
      </c>
      <c r="AJ59" s="191">
        <f>$K59*0.8+L59*0.1</f>
        <v>53.058383200277675</v>
      </c>
      <c r="AK59" s="191">
        <f>$L59*0.5</f>
        <v>107.245668170774</v>
      </c>
      <c r="AL59" s="191">
        <f>$L59*0.4</f>
        <v>85.796534536619205</v>
      </c>
      <c r="AM59" s="38"/>
      <c r="AN59" s="38"/>
      <c r="AO59" s="38"/>
      <c r="AP59" s="38"/>
      <c r="AQ59" s="38"/>
      <c r="AR59" s="46"/>
      <c r="AS59" s="38">
        <f>$M59*0.1</f>
        <v>5.6445088510933692</v>
      </c>
      <c r="AT59" s="38">
        <f>$M59*0.5</f>
        <v>28.222544255466843</v>
      </c>
      <c r="AU59" s="38">
        <f>$M59*0.4</f>
        <v>22.578035404373477</v>
      </c>
      <c r="AV59" s="6"/>
      <c r="AW59" s="6"/>
      <c r="AX59" s="6">
        <f t="shared" ref="AX59:AX64" si="71">N59+W59+AF59+AO59</f>
        <v>0</v>
      </c>
      <c r="AY59" s="6">
        <f t="shared" ref="AY59:AY64" si="72">O59+X59+AG59+AP59</f>
        <v>0</v>
      </c>
      <c r="AZ59" s="6">
        <f t="shared" ref="AZ59:AZ64" si="73">P59+Y59+AH59+AQ59</f>
        <v>0</v>
      </c>
      <c r="BA59" s="6">
        <f t="shared" ref="BA59:BA64" si="74">Q59+Z59+AI59+AR59</f>
        <v>14.09412209302328</v>
      </c>
      <c r="BB59" s="6">
        <f t="shared" ref="BB59:BB64" si="75">R59+AA59+AJ59+AS59</f>
        <v>269.19162209302323</v>
      </c>
      <c r="BC59" s="6">
        <f t="shared" ref="BC59:BC64" si="76">SUM(S59,AB59,AK59,AT59)</f>
        <v>154.04364153071853</v>
      </c>
      <c r="BD59" s="6">
        <f t="shared" si="47"/>
        <v>126.94999904547038</v>
      </c>
      <c r="BE59" s="6">
        <f t="shared" si="48"/>
        <v>0</v>
      </c>
      <c r="BG59" s="14">
        <f t="shared" ref="BG59:BG64" si="77">SUM(AX59:BE59)</f>
        <v>564.2793847622354</v>
      </c>
      <c r="BH59" s="11">
        <f>BG59-Direct_Capex_Totals!V47</f>
        <v>0</v>
      </c>
      <c r="BJ59" s="38">
        <f t="shared" ref="BJ59:BJ64" si="78">SUMIFS($N59:$U59,$N$4:$U$4,"&lt;=2020")</f>
        <v>191.91330093717454</v>
      </c>
      <c r="BK59" s="38">
        <f t="shared" ref="BK59:BK64" si="79">SUMIFS($W59:$AD59,$W$4:$AD$4,"&lt;=2020")</f>
        <v>24.767238805970251</v>
      </c>
      <c r="BL59" s="38">
        <f t="shared" ref="BL59:BL64" si="80">SUMIFS($K59,$C59,"&lt;=31/12/2020")</f>
        <v>39.511561957653583</v>
      </c>
      <c r="BM59" s="38">
        <f t="shared" ref="BM59:BM64" si="81">SUMIFS($AF59:$AM59,$AF$4:$AM$4,"&lt;=2020")-BL59</f>
        <v>21.449133634154805</v>
      </c>
      <c r="BN59" s="38">
        <f t="shared" ref="BN59:BN64" si="82">SUMIFS($AO59:$AV59,$AO$4:$AV$4,"&lt;=2020")</f>
        <v>5.6445088510933692</v>
      </c>
    </row>
    <row r="60" spans="2:66" x14ac:dyDescent="0.25">
      <c r="B60" s="164" t="str">
        <f>STN_2</f>
        <v>KLO</v>
      </c>
      <c r="C60" s="17">
        <f>Schedule!C37</f>
        <v>43692</v>
      </c>
      <c r="D60" s="17">
        <f>Schedule!D37</f>
        <v>44197</v>
      </c>
      <c r="E60" s="20">
        <f>Schedule!E37</f>
        <v>44896</v>
      </c>
      <c r="F60" s="677" t="s">
        <v>44</v>
      </c>
      <c r="G60" s="677" t="s">
        <v>19</v>
      </c>
      <c r="H60" s="676" t="str">
        <f t="shared" si="69"/>
        <v>Distribution system assetsReplacement</v>
      </c>
      <c r="I60" s="365">
        <f>Direct_Capex_Totals!Q48</f>
        <v>21.323700104130506</v>
      </c>
      <c r="J60" s="365">
        <f>Direct_Capex_Totals!R48</f>
        <v>6.8797885572139581</v>
      </c>
      <c r="K60" s="365">
        <f>Direct_Capex_Totals!S48</f>
        <v>4.3901735508503981</v>
      </c>
      <c r="L60" s="365">
        <f>Direct_Capex_Totals!T48</f>
        <v>23.832370704616444</v>
      </c>
      <c r="M60" s="365">
        <f>Direct_Capex_Totals!U48</f>
        <v>6.2716765012148539</v>
      </c>
      <c r="N60" s="6"/>
      <c r="O60" s="6"/>
      <c r="Q60" s="46"/>
      <c r="R60" s="38">
        <f>I60</f>
        <v>21.323700104130506</v>
      </c>
      <c r="S60" s="6"/>
      <c r="T60" s="6"/>
      <c r="U60" s="6"/>
      <c r="V60" s="6"/>
      <c r="W60" s="6"/>
      <c r="X60" s="38"/>
      <c r="Y60" s="38"/>
      <c r="Z60" s="191">
        <f>$J60*0.1</f>
        <v>0.68797885572139583</v>
      </c>
      <c r="AA60" s="191">
        <f t="shared" si="70"/>
        <v>2.0639365671641872</v>
      </c>
      <c r="AB60" s="191">
        <f t="shared" si="70"/>
        <v>2.0639365671641872</v>
      </c>
      <c r="AC60" s="191">
        <f t="shared" si="70"/>
        <v>2.0639365671641872</v>
      </c>
      <c r="AD60" s="6"/>
      <c r="AE60" s="6"/>
      <c r="AF60" s="6"/>
      <c r="AG60" s="6"/>
      <c r="AI60" s="191">
        <f>$K60*0.2</f>
        <v>0.87803471017007961</v>
      </c>
      <c r="AJ60" s="191">
        <f>$K60*0.8+L60*0.1</f>
        <v>5.8953759111419632</v>
      </c>
      <c r="AK60" s="191">
        <f>$L60*0.5</f>
        <v>11.916185352308222</v>
      </c>
      <c r="AL60" s="191">
        <f>$L60*0.4</f>
        <v>9.5329482818465774</v>
      </c>
      <c r="AM60" s="38"/>
      <c r="AN60" s="38"/>
      <c r="AO60" s="38"/>
      <c r="AP60" s="38"/>
      <c r="AQ60" s="38"/>
      <c r="AR60" s="46"/>
      <c r="AS60" s="46"/>
      <c r="AT60" s="38">
        <f>$M60*0.5</f>
        <v>3.1358382506074269</v>
      </c>
      <c r="AU60" s="38">
        <f>$M60*0.5</f>
        <v>3.1358382506074269</v>
      </c>
      <c r="AV60" s="6"/>
      <c r="AW60" s="6"/>
      <c r="AX60" s="6">
        <f t="shared" si="71"/>
        <v>0</v>
      </c>
      <c r="AY60" s="6">
        <f t="shared" si="72"/>
        <v>0</v>
      </c>
      <c r="AZ60" s="6">
        <f t="shared" si="73"/>
        <v>0</v>
      </c>
      <c r="BA60" s="6">
        <f t="shared" si="74"/>
        <v>1.5660135658914753</v>
      </c>
      <c r="BB60" s="6">
        <f t="shared" si="75"/>
        <v>29.283012582436655</v>
      </c>
      <c r="BC60" s="6">
        <f t="shared" si="76"/>
        <v>17.115960170079838</v>
      </c>
      <c r="BD60" s="6">
        <f t="shared" si="47"/>
        <v>14.732723099618191</v>
      </c>
      <c r="BE60" s="6">
        <f t="shared" si="48"/>
        <v>0</v>
      </c>
      <c r="BG60" s="14">
        <f t="shared" si="77"/>
        <v>62.697709418026157</v>
      </c>
      <c r="BH60" s="11">
        <f>BG60-Direct_Capex_Totals!V48</f>
        <v>0</v>
      </c>
      <c r="BJ60" s="38">
        <f t="shared" si="78"/>
        <v>21.323700104130506</v>
      </c>
      <c r="BK60" s="38">
        <f t="shared" si="79"/>
        <v>2.7519154228855829</v>
      </c>
      <c r="BL60" s="38">
        <f t="shared" si="80"/>
        <v>4.3901735508503981</v>
      </c>
      <c r="BM60" s="38">
        <f t="shared" si="81"/>
        <v>2.3832370704616448</v>
      </c>
      <c r="BN60" s="38">
        <f t="shared" si="82"/>
        <v>0</v>
      </c>
    </row>
    <row r="61" spans="2:66" x14ac:dyDescent="0.25">
      <c r="B61" s="164" t="str">
        <f>STN_3</f>
        <v>LLG</v>
      </c>
      <c r="C61" s="17">
        <f>Schedule!C38</f>
        <v>43692</v>
      </c>
      <c r="D61" s="17">
        <f>Schedule!D38</f>
        <v>44136</v>
      </c>
      <c r="E61" s="20">
        <f>Schedule!E38</f>
        <v>44621</v>
      </c>
      <c r="F61" s="677" t="s">
        <v>44</v>
      </c>
      <c r="G61" s="677" t="s">
        <v>19</v>
      </c>
      <c r="H61" s="676" t="str">
        <f t="shared" si="69"/>
        <v>Distribution system assetsReplacement</v>
      </c>
      <c r="I61" s="365">
        <f>Direct_Capex_Totals!Q49</f>
        <v>106.61850052065253</v>
      </c>
      <c r="J61" s="365">
        <f>Direct_Capex_Totals!R49</f>
        <v>34.398942786069789</v>
      </c>
      <c r="K61" s="365">
        <f>Direct_Capex_Totals!S49</f>
        <v>21.950867754251991</v>
      </c>
      <c r="L61" s="365">
        <f>Direct_Capex_Totals!T49</f>
        <v>119.16185352308221</v>
      </c>
      <c r="M61" s="365">
        <f>Direct_Capex_Totals!U49</f>
        <v>31.358382506074271</v>
      </c>
      <c r="N61" s="6"/>
      <c r="O61" s="6"/>
      <c r="Q61" s="46"/>
      <c r="R61" s="38">
        <f>I61</f>
        <v>106.61850052065253</v>
      </c>
      <c r="S61" s="6"/>
      <c r="T61" s="6"/>
      <c r="U61" s="6"/>
      <c r="V61" s="6"/>
      <c r="W61" s="6"/>
      <c r="X61" s="38"/>
      <c r="Y61" s="38"/>
      <c r="Z61" s="191">
        <f>$J61*0.1</f>
        <v>3.4398942786069791</v>
      </c>
      <c r="AA61" s="191">
        <f t="shared" si="70"/>
        <v>10.319682835820936</v>
      </c>
      <c r="AB61" s="191">
        <f t="shared" si="70"/>
        <v>10.319682835820936</v>
      </c>
      <c r="AC61" s="191">
        <f t="shared" si="70"/>
        <v>10.319682835820936</v>
      </c>
      <c r="AD61" s="6"/>
      <c r="AE61" s="6"/>
      <c r="AF61" s="6"/>
      <c r="AG61" s="6"/>
      <c r="AI61" s="191">
        <f>$K61*0.2</f>
        <v>4.3901735508503981</v>
      </c>
      <c r="AJ61" s="191">
        <f>$K61*0.8+L61*0.1</f>
        <v>29.476879555709814</v>
      </c>
      <c r="AK61" s="191">
        <f>$L61*0.5</f>
        <v>59.580926761541107</v>
      </c>
      <c r="AL61" s="191">
        <f>$L61*0.4</f>
        <v>47.664741409232889</v>
      </c>
      <c r="AM61" s="38"/>
      <c r="AN61" s="38"/>
      <c r="AO61" s="38"/>
      <c r="AP61" s="38"/>
      <c r="AQ61" s="38"/>
      <c r="AR61" s="46"/>
      <c r="AS61" s="38">
        <f>$M61*0.1</f>
        <v>3.1358382506074274</v>
      </c>
      <c r="AT61" s="38">
        <f>$M61*0.5</f>
        <v>15.679191253037136</v>
      </c>
      <c r="AU61" s="38">
        <f>$M61*0.4</f>
        <v>12.54335300242971</v>
      </c>
      <c r="AV61" s="6"/>
      <c r="AW61" s="6"/>
      <c r="AX61" s="6">
        <f t="shared" si="71"/>
        <v>0</v>
      </c>
      <c r="AY61" s="6">
        <f t="shared" si="72"/>
        <v>0</v>
      </c>
      <c r="AZ61" s="6">
        <f t="shared" si="73"/>
        <v>0</v>
      </c>
      <c r="BA61" s="6">
        <f t="shared" si="74"/>
        <v>7.8300678294573771</v>
      </c>
      <c r="BB61" s="6">
        <f t="shared" si="75"/>
        <v>149.55090116279072</v>
      </c>
      <c r="BC61" s="6">
        <f t="shared" si="76"/>
        <v>85.579800850399181</v>
      </c>
      <c r="BD61" s="6">
        <f t="shared" si="47"/>
        <v>70.527777247483527</v>
      </c>
      <c r="BE61" s="6">
        <f t="shared" si="48"/>
        <v>0</v>
      </c>
      <c r="BG61" s="14">
        <f t="shared" si="77"/>
        <v>313.48854709013079</v>
      </c>
      <c r="BH61" s="11">
        <f>BG61-Direct_Capex_Totals!V49</f>
        <v>0</v>
      </c>
      <c r="BJ61" s="38">
        <f t="shared" si="78"/>
        <v>106.61850052065253</v>
      </c>
      <c r="BK61" s="38">
        <f t="shared" si="79"/>
        <v>13.759577114427916</v>
      </c>
      <c r="BL61" s="38">
        <f t="shared" si="80"/>
        <v>21.950867754251991</v>
      </c>
      <c r="BM61" s="38">
        <f t="shared" si="81"/>
        <v>11.916185352308222</v>
      </c>
      <c r="BN61" s="38">
        <f t="shared" si="82"/>
        <v>3.1358382506074274</v>
      </c>
    </row>
    <row r="62" spans="2:66" x14ac:dyDescent="0.25">
      <c r="B62" s="164" t="str">
        <f>STN_4</f>
        <v>MSD</v>
      </c>
      <c r="C62" s="17">
        <f>Schedule!C39</f>
        <v>43595</v>
      </c>
      <c r="D62" s="17">
        <f>Schedule!D39</f>
        <v>43709</v>
      </c>
      <c r="E62" s="20">
        <f>Schedule!E39</f>
        <v>43891</v>
      </c>
      <c r="F62" s="677" t="s">
        <v>44</v>
      </c>
      <c r="G62" s="677" t="s">
        <v>19</v>
      </c>
      <c r="H62" s="676" t="str">
        <f t="shared" si="69"/>
        <v>Distribution system assetsReplacement</v>
      </c>
      <c r="I62" s="365">
        <f>Direct_Capex_Totals!Q50</f>
        <v>85.294800416522023</v>
      </c>
      <c r="J62" s="365">
        <f>Direct_Capex_Totals!R50</f>
        <v>27.519154228855832</v>
      </c>
      <c r="K62" s="365">
        <f>Direct_Capex_Totals!S50</f>
        <v>17.560694203401592</v>
      </c>
      <c r="L62" s="365">
        <f>Direct_Capex_Totals!T50</f>
        <v>95.329482818465777</v>
      </c>
      <c r="M62" s="365">
        <f>Direct_Capex_Totals!U50</f>
        <v>25.086706004859415</v>
      </c>
      <c r="N62" s="6"/>
      <c r="O62" s="6"/>
      <c r="Q62" s="324">
        <f>I62</f>
        <v>85.294800416522023</v>
      </c>
      <c r="R62" s="38"/>
      <c r="S62" s="6"/>
      <c r="T62" s="6"/>
      <c r="U62" s="6"/>
      <c r="V62" s="6"/>
      <c r="W62" s="6"/>
      <c r="X62" s="38"/>
      <c r="Y62" s="38"/>
      <c r="Z62" s="38">
        <f>$J62*0.5</f>
        <v>13.759577114427916</v>
      </c>
      <c r="AA62" s="38">
        <f>$J62*0.5</f>
        <v>13.759577114427916</v>
      </c>
      <c r="AB62" s="38"/>
      <c r="AC62" s="38"/>
      <c r="AD62" s="6"/>
      <c r="AE62" s="6"/>
      <c r="AF62" s="6"/>
      <c r="AG62" s="6"/>
      <c r="AI62" s="38">
        <f>K62+$L62*0.5</f>
        <v>65.225435612634485</v>
      </c>
      <c r="AJ62" s="38">
        <f>$L62*0.5</f>
        <v>47.664741409232889</v>
      </c>
      <c r="AK62" s="38"/>
      <c r="AL62" s="38"/>
      <c r="AM62" s="38"/>
      <c r="AN62" s="38"/>
      <c r="AO62" s="38"/>
      <c r="AP62" s="38"/>
      <c r="AQ62" s="38"/>
      <c r="AR62" s="38">
        <f>$M62*0.5</f>
        <v>12.543353002429708</v>
      </c>
      <c r="AS62" s="38">
        <f>$M62*0.5</f>
        <v>12.543353002429708</v>
      </c>
      <c r="AT62" s="38"/>
      <c r="AU62" s="38"/>
      <c r="AV62" s="6"/>
      <c r="AW62" s="6"/>
      <c r="AX62" s="6">
        <f t="shared" si="71"/>
        <v>0</v>
      </c>
      <c r="AY62" s="6">
        <f t="shared" si="72"/>
        <v>0</v>
      </c>
      <c r="AZ62" s="6">
        <f t="shared" si="73"/>
        <v>0</v>
      </c>
      <c r="BA62" s="6">
        <f t="shared" si="74"/>
        <v>176.82316614601413</v>
      </c>
      <c r="BB62" s="6">
        <f t="shared" si="75"/>
        <v>73.967671526090513</v>
      </c>
      <c r="BC62" s="6">
        <f t="shared" si="76"/>
        <v>0</v>
      </c>
      <c r="BD62" s="6">
        <f t="shared" si="47"/>
        <v>0</v>
      </c>
      <c r="BE62" s="6">
        <f t="shared" si="48"/>
        <v>0</v>
      </c>
      <c r="BG62" s="14">
        <f t="shared" si="77"/>
        <v>250.79083767210466</v>
      </c>
      <c r="BH62" s="11">
        <f>BG62-Direct_Capex_Totals!V50</f>
        <v>0</v>
      </c>
      <c r="BJ62" s="38">
        <f t="shared" si="78"/>
        <v>85.294800416522023</v>
      </c>
      <c r="BK62" s="38">
        <f t="shared" si="79"/>
        <v>27.519154228855832</v>
      </c>
      <c r="BL62" s="38">
        <f t="shared" si="80"/>
        <v>17.560694203401592</v>
      </c>
      <c r="BM62" s="38">
        <f t="shared" si="81"/>
        <v>95.329482818465777</v>
      </c>
      <c r="BN62" s="38">
        <f t="shared" si="82"/>
        <v>25.086706004859415</v>
      </c>
    </row>
    <row r="63" spans="2:66" x14ac:dyDescent="0.25">
      <c r="B63" s="164" t="str">
        <f>STN_5</f>
        <v>SLE</v>
      </c>
      <c r="C63" s="17">
        <f>Schedule!C40</f>
        <v>43692</v>
      </c>
      <c r="D63" s="17">
        <f>Schedule!D40</f>
        <v>44166</v>
      </c>
      <c r="E63" s="20">
        <f>Schedule!E40</f>
        <v>44652</v>
      </c>
      <c r="F63" s="677" t="s">
        <v>44</v>
      </c>
      <c r="G63" s="677" t="s">
        <v>19</v>
      </c>
      <c r="H63" s="676" t="str">
        <f t="shared" si="69"/>
        <v>Distribution system assetsReplacement</v>
      </c>
      <c r="I63" s="365">
        <f>Direct_Capex_Totals!Q51</f>
        <v>127.94220062478303</v>
      </c>
      <c r="J63" s="365">
        <f>Direct_Capex_Totals!R51</f>
        <v>41.278731343283752</v>
      </c>
      <c r="K63" s="365">
        <f>Direct_Capex_Totals!S51</f>
        <v>26.341041305102387</v>
      </c>
      <c r="L63" s="365">
        <f>Direct_Capex_Totals!T51</f>
        <v>142.99422422769868</v>
      </c>
      <c r="M63" s="365">
        <f>Direct_Capex_Totals!U51</f>
        <v>37.63005900728912</v>
      </c>
      <c r="N63" s="6"/>
      <c r="O63" s="6"/>
      <c r="Q63" s="46"/>
      <c r="R63" s="38">
        <f>I63</f>
        <v>127.94220062478303</v>
      </c>
      <c r="S63" s="6"/>
      <c r="T63" s="6"/>
      <c r="U63" s="6"/>
      <c r="V63" s="6"/>
      <c r="W63" s="6"/>
      <c r="X63" s="38"/>
      <c r="Y63" s="38"/>
      <c r="Z63" s="191">
        <f>$J63*0.1</f>
        <v>4.1278731343283752</v>
      </c>
      <c r="AA63" s="191">
        <f>$J63*0.3</f>
        <v>12.383619402985126</v>
      </c>
      <c r="AB63" s="191">
        <f>$J63*0.3</f>
        <v>12.383619402985126</v>
      </c>
      <c r="AC63" s="191">
        <f>$J63*0.3</f>
        <v>12.383619402985126</v>
      </c>
      <c r="AD63" s="6"/>
      <c r="AE63" s="6"/>
      <c r="AF63" s="6"/>
      <c r="AG63" s="6"/>
      <c r="AI63" s="191">
        <f>$K63*0.2</f>
        <v>5.2682082610204777</v>
      </c>
      <c r="AJ63" s="191">
        <f>$K63*0.8+L63*0.1</f>
        <v>35.372255466851783</v>
      </c>
      <c r="AK63" s="191">
        <f>$L63*0.5</f>
        <v>71.49711211384934</v>
      </c>
      <c r="AL63" s="191">
        <f>$L63*0.4</f>
        <v>57.197689691079475</v>
      </c>
      <c r="AM63" s="38"/>
      <c r="AN63" s="38"/>
      <c r="AO63" s="38"/>
      <c r="AP63" s="38"/>
      <c r="AQ63" s="38"/>
      <c r="AR63" s="46"/>
      <c r="AS63" s="38">
        <f>$M63*0.1</f>
        <v>3.7630059007289121</v>
      </c>
      <c r="AT63" s="38">
        <f>$M63*0.5</f>
        <v>18.81502950364456</v>
      </c>
      <c r="AU63" s="38">
        <f>$M63*0.4</f>
        <v>15.052023602915648</v>
      </c>
      <c r="AV63" s="6"/>
      <c r="AW63" s="6"/>
      <c r="AX63" s="6">
        <f t="shared" si="71"/>
        <v>0</v>
      </c>
      <c r="AY63" s="6">
        <f t="shared" si="72"/>
        <v>0</v>
      </c>
      <c r="AZ63" s="6">
        <f t="shared" si="73"/>
        <v>0</v>
      </c>
      <c r="BA63" s="6">
        <f t="shared" si="74"/>
        <v>9.3960813953488529</v>
      </c>
      <c r="BB63" s="6">
        <f t="shared" si="75"/>
        <v>179.46108139534883</v>
      </c>
      <c r="BC63" s="6">
        <f t="shared" si="76"/>
        <v>102.69576102047901</v>
      </c>
      <c r="BD63" s="6">
        <f t="shared" si="47"/>
        <v>84.633332696980261</v>
      </c>
      <c r="BE63" s="6">
        <f t="shared" si="48"/>
        <v>0</v>
      </c>
      <c r="BG63" s="14">
        <f t="shared" si="77"/>
        <v>376.18625650815693</v>
      </c>
      <c r="BH63" s="11">
        <f>BG63-Direct_Capex_Totals!V51</f>
        <v>0</v>
      </c>
      <c r="BJ63" s="38">
        <f t="shared" si="78"/>
        <v>127.94220062478303</v>
      </c>
      <c r="BK63" s="38">
        <f t="shared" si="79"/>
        <v>16.511492537313501</v>
      </c>
      <c r="BL63" s="38">
        <f t="shared" si="80"/>
        <v>26.341041305102387</v>
      </c>
      <c r="BM63" s="38">
        <f t="shared" si="81"/>
        <v>14.299422422769872</v>
      </c>
      <c r="BN63" s="38">
        <f t="shared" si="82"/>
        <v>3.7630059007289121</v>
      </c>
    </row>
    <row r="64" spans="2:66" x14ac:dyDescent="0.25">
      <c r="B64" s="164" t="str">
        <f>STN_9</f>
        <v>KLO2</v>
      </c>
      <c r="C64" s="17">
        <f>Schedule!C41</f>
        <v>0</v>
      </c>
      <c r="D64" s="17">
        <f>Schedule!D41</f>
        <v>0</v>
      </c>
      <c r="E64" s="20">
        <f>Schedule!E41</f>
        <v>0</v>
      </c>
      <c r="F64" s="677" t="s">
        <v>44</v>
      </c>
      <c r="G64" s="677" t="s">
        <v>19</v>
      </c>
      <c r="H64" s="676" t="str">
        <f t="shared" si="69"/>
        <v>Distribution system assetsReplacement</v>
      </c>
      <c r="I64" s="365">
        <f>Direct_Capex_Totals!Q52</f>
        <v>0</v>
      </c>
      <c r="J64" s="365">
        <f>Direct_Capex_Totals!R52</f>
        <v>0</v>
      </c>
      <c r="K64" s="365">
        <f>Direct_Capex_Totals!S52</f>
        <v>0</v>
      </c>
      <c r="L64" s="365">
        <f>Direct_Capex_Totals!T52</f>
        <v>0</v>
      </c>
      <c r="M64" s="365">
        <f>Direct_Capex_Totals!U52</f>
        <v>0</v>
      </c>
      <c r="N64" s="6"/>
      <c r="O64" s="6"/>
      <c r="Q64" s="46"/>
      <c r="R64" s="38"/>
      <c r="S64" s="6"/>
      <c r="T64" s="6"/>
      <c r="U64" s="6"/>
      <c r="V64" s="6"/>
      <c r="W64" s="6"/>
      <c r="X64" s="38"/>
      <c r="Y64" s="38"/>
      <c r="Z64" s="46"/>
      <c r="AA64" s="46"/>
      <c r="AB64" s="38"/>
      <c r="AC64" s="38"/>
      <c r="AD64" s="6"/>
      <c r="AE64" s="6"/>
      <c r="AF64" s="6"/>
      <c r="AG64" s="6"/>
      <c r="AI64" s="46"/>
      <c r="AJ64" s="46"/>
      <c r="AK64" s="38"/>
      <c r="AL64" s="38"/>
      <c r="AM64" s="38"/>
      <c r="AN64" s="38"/>
      <c r="AO64" s="38"/>
      <c r="AP64" s="38"/>
      <c r="AQ64" s="38"/>
      <c r="AR64" s="46"/>
      <c r="AS64" s="46"/>
      <c r="AT64" s="38"/>
      <c r="AU64" s="38"/>
      <c r="AV64" s="6"/>
      <c r="AW64" s="6"/>
      <c r="AX64" s="6">
        <f t="shared" si="71"/>
        <v>0</v>
      </c>
      <c r="AY64" s="6">
        <f t="shared" si="72"/>
        <v>0</v>
      </c>
      <c r="AZ64" s="6">
        <f t="shared" si="73"/>
        <v>0</v>
      </c>
      <c r="BA64" s="6">
        <f t="shared" si="74"/>
        <v>0</v>
      </c>
      <c r="BB64" s="6">
        <f t="shared" si="75"/>
        <v>0</v>
      </c>
      <c r="BC64" s="6">
        <f t="shared" si="76"/>
        <v>0</v>
      </c>
      <c r="BD64" s="6">
        <f t="shared" si="47"/>
        <v>0</v>
      </c>
      <c r="BE64" s="6">
        <f t="shared" si="48"/>
        <v>0</v>
      </c>
      <c r="BG64" s="14">
        <f t="shared" si="77"/>
        <v>0</v>
      </c>
      <c r="BH64" s="11">
        <f>BG64-Direct_Capex_Totals!V52</f>
        <v>0</v>
      </c>
      <c r="BJ64" s="38">
        <f t="shared" si="78"/>
        <v>0</v>
      </c>
      <c r="BK64" s="38">
        <f t="shared" si="79"/>
        <v>0</v>
      </c>
      <c r="BL64" s="38">
        <f t="shared" si="80"/>
        <v>0</v>
      </c>
      <c r="BM64" s="38">
        <f t="shared" si="81"/>
        <v>0</v>
      </c>
      <c r="BN64" s="38">
        <f t="shared" si="82"/>
        <v>0</v>
      </c>
    </row>
    <row r="65" spans="2:66" x14ac:dyDescent="0.25">
      <c r="C65" s="46"/>
      <c r="D65" s="46"/>
      <c r="E65" s="20"/>
      <c r="F65" s="677"/>
      <c r="G65" s="677"/>
      <c r="H65" s="677"/>
      <c r="I65" s="8"/>
      <c r="J65" s="8"/>
      <c r="K65" s="8"/>
      <c r="L65" s="8"/>
      <c r="M65" s="8"/>
      <c r="N65" s="6"/>
      <c r="O65" s="6"/>
      <c r="Q65" s="46"/>
      <c r="R65" s="38"/>
      <c r="S65" s="6"/>
      <c r="T65" s="6"/>
      <c r="U65" s="6"/>
      <c r="V65" s="6"/>
      <c r="W65" s="6"/>
      <c r="X65" s="38"/>
      <c r="Y65" s="38"/>
      <c r="Z65" s="46"/>
      <c r="AA65" s="46"/>
      <c r="AB65" s="38"/>
      <c r="AC65" s="38"/>
      <c r="AD65" s="6"/>
      <c r="AE65" s="6"/>
      <c r="AF65" s="6"/>
      <c r="AG65" s="6"/>
      <c r="AI65" s="46"/>
      <c r="AJ65" s="46"/>
      <c r="AK65" s="38"/>
      <c r="AL65" s="38"/>
      <c r="AM65" s="38"/>
      <c r="AN65" s="38"/>
      <c r="AO65" s="38"/>
      <c r="AP65" s="38"/>
      <c r="AQ65" s="38"/>
      <c r="AR65" s="46"/>
      <c r="AS65" s="46"/>
      <c r="AT65" s="38"/>
      <c r="AU65" s="38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2:66" x14ac:dyDescent="0.25">
      <c r="B66" s="25" t="s">
        <v>9</v>
      </c>
      <c r="C66" s="46"/>
      <c r="D66" s="46"/>
      <c r="E66" s="20"/>
      <c r="F66" s="677"/>
      <c r="G66" s="677"/>
      <c r="H66" s="677"/>
      <c r="I66" s="8"/>
      <c r="J66" s="8"/>
      <c r="K66" s="8"/>
      <c r="L66" s="8"/>
      <c r="M66" s="8"/>
      <c r="N66" s="6"/>
      <c r="O66" s="6"/>
      <c r="Q66" s="46"/>
      <c r="R66" s="38"/>
      <c r="S66" s="6"/>
      <c r="T66" s="6"/>
      <c r="U66" s="6"/>
      <c r="V66" s="6"/>
      <c r="W66" s="6"/>
      <c r="X66" s="38"/>
      <c r="Y66" s="38"/>
      <c r="Z66" s="46"/>
      <c r="AA66" s="46"/>
      <c r="AB66" s="38"/>
      <c r="AC66" s="38"/>
      <c r="AD66" s="6"/>
      <c r="AE66" s="6"/>
      <c r="AF66" s="6"/>
      <c r="AG66" s="6"/>
      <c r="AI66" s="46"/>
      <c r="AJ66" s="46"/>
      <c r="AK66" s="38"/>
      <c r="AL66" s="38"/>
      <c r="AM66" s="38"/>
      <c r="AN66" s="38"/>
      <c r="AO66" s="38"/>
      <c r="AP66" s="38"/>
      <c r="AQ66" s="38"/>
      <c r="AR66" s="46"/>
      <c r="AS66" s="46"/>
      <c r="AT66" s="38"/>
      <c r="AU66" s="38"/>
      <c r="AV66" s="6"/>
      <c r="AW66" s="6"/>
      <c r="AX66" s="6"/>
      <c r="AY66" s="6"/>
      <c r="AZ66" s="6"/>
      <c r="BA66" s="6"/>
      <c r="BB66" s="6"/>
      <c r="BC66" s="6"/>
      <c r="BD66" s="6"/>
      <c r="BE66" s="6"/>
      <c r="BJ66" s="482" t="s">
        <v>151</v>
      </c>
      <c r="BK66" s="493" t="s">
        <v>63</v>
      </c>
      <c r="BL66" s="493" t="s">
        <v>7</v>
      </c>
      <c r="BM66" s="650" t="s">
        <v>380</v>
      </c>
      <c r="BN66" s="650" t="s">
        <v>77</v>
      </c>
    </row>
    <row r="67" spans="2:66" x14ac:dyDescent="0.25">
      <c r="B67" s="164" t="str">
        <f>STN_1</f>
        <v>BN</v>
      </c>
      <c r="C67" s="17">
        <f>Schedule!C44</f>
        <v>43692</v>
      </c>
      <c r="D67" s="17">
        <f>Schedule!D44</f>
        <v>44105</v>
      </c>
      <c r="E67" s="20">
        <f>Schedule!E44</f>
        <v>44715</v>
      </c>
      <c r="F67" s="677" t="s">
        <v>44</v>
      </c>
      <c r="G67" s="676" t="s">
        <v>19</v>
      </c>
      <c r="H67" s="676" t="str">
        <f t="shared" ref="H67:H72" si="83">G67&amp;F67</f>
        <v>Distribution system assetsReplacement</v>
      </c>
      <c r="I67" s="365">
        <f>Direct_Capex_Totals!Q58</f>
        <v>70.752212389380517</v>
      </c>
      <c r="J67" s="365">
        <f>Direct_Capex_Totals!R58</f>
        <v>11.544781663615318</v>
      </c>
      <c r="K67" s="365">
        <f>Direct_Capex_Totals!S58</f>
        <v>22.015996283367706</v>
      </c>
      <c r="L67" s="365">
        <f>Direct_Capex_Totals!T58</f>
        <v>150.72305414541827</v>
      </c>
      <c r="M67" s="365">
        <f>Direct_Capex_Totals!U58</f>
        <v>0</v>
      </c>
      <c r="N67" s="6">
        <v>0</v>
      </c>
      <c r="O67" s="6">
        <v>0</v>
      </c>
      <c r="Q67" s="46"/>
      <c r="R67" s="38">
        <f>I67</f>
        <v>70.752212389380517</v>
      </c>
      <c r="S67" s="6"/>
      <c r="T67" s="6"/>
      <c r="U67" s="6"/>
      <c r="V67" s="6"/>
      <c r="W67" s="6"/>
      <c r="X67" s="38"/>
      <c r="Y67" s="38"/>
      <c r="Z67" s="191">
        <f>$J67*0.1</f>
        <v>1.1544781663615318</v>
      </c>
      <c r="AA67" s="191">
        <f t="shared" ref="AA67:AC69" si="84">$J67*0.3</f>
        <v>3.4634344990845953</v>
      </c>
      <c r="AB67" s="191">
        <f t="shared" si="84"/>
        <v>3.4634344990845953</v>
      </c>
      <c r="AC67" s="191">
        <f t="shared" si="84"/>
        <v>3.4634344990845953</v>
      </c>
      <c r="AD67" s="6"/>
      <c r="AE67" s="6"/>
      <c r="AF67" s="6"/>
      <c r="AG67" s="6"/>
      <c r="AI67" s="324">
        <f>K67</f>
        <v>22.015996283367706</v>
      </c>
      <c r="AJ67" s="324">
        <f>L67*0.1</f>
        <v>15.072305414541828</v>
      </c>
      <c r="AK67" s="324">
        <f>$L67*0.5</f>
        <v>75.361527072709137</v>
      </c>
      <c r="AL67" s="324">
        <f>$L67*0.4</f>
        <v>60.289221658167314</v>
      </c>
      <c r="AM67" s="38"/>
      <c r="AN67" s="38"/>
      <c r="AO67" s="38"/>
      <c r="AP67" s="38"/>
      <c r="AQ67" s="38"/>
      <c r="AR67" s="46"/>
      <c r="AS67" s="38">
        <f>$M67*0.1</f>
        <v>0</v>
      </c>
      <c r="AT67" s="38">
        <f>$M67*0.5</f>
        <v>0</v>
      </c>
      <c r="AU67" s="38">
        <f>$M67*0.4</f>
        <v>0</v>
      </c>
      <c r="AV67" s="6"/>
      <c r="AW67" s="6"/>
      <c r="AX67" s="6">
        <f t="shared" ref="AX67:AX72" si="85">N67+W67+AF67+AO67</f>
        <v>0</v>
      </c>
      <c r="AY67" s="6">
        <f t="shared" ref="AY67:AY72" si="86">O67+X67+AG67+AP67</f>
        <v>0</v>
      </c>
      <c r="AZ67" s="6">
        <f t="shared" ref="AZ67:AZ72" si="87">P67+Y67+AH67+AQ67</f>
        <v>0</v>
      </c>
      <c r="BA67" s="6">
        <f t="shared" ref="BA67:BA72" si="88">Q67+Z67+AI67+AR67</f>
        <v>23.170474449729237</v>
      </c>
      <c r="BB67" s="6">
        <f t="shared" ref="BB67:BB72" si="89">R67+AA67+AJ67+AS67</f>
        <v>89.287952303006946</v>
      </c>
      <c r="BC67" s="6">
        <f t="shared" ref="BC67:BC72" si="90">SUM(S67,AB67,AK67,AT67)</f>
        <v>78.824961571793736</v>
      </c>
      <c r="BD67" s="6">
        <f t="shared" si="47"/>
        <v>63.752656157251906</v>
      </c>
      <c r="BE67" s="6">
        <f t="shared" si="48"/>
        <v>0</v>
      </c>
      <c r="BG67" s="14">
        <f t="shared" ref="BG67:BG72" si="91">SUM(AX67:BE67)</f>
        <v>255.03604448178186</v>
      </c>
      <c r="BH67" s="19">
        <f>BG67-Direct_Capex_Totals!V58</f>
        <v>0</v>
      </c>
      <c r="BJ67" s="38">
        <f t="shared" ref="BJ67:BJ72" si="92">SUMIFS($N67:$U67,$N$4:$U$4,"&lt;=2020")</f>
        <v>70.752212389380517</v>
      </c>
      <c r="BK67" s="38">
        <f t="shared" ref="BK67:BK72" si="93">SUMIFS($W67:$AD67,$W$4:$AD$4,"&lt;=2020")</f>
        <v>4.6179126654461271</v>
      </c>
      <c r="BL67" s="38">
        <f t="shared" ref="BL67:BL72" si="94">SUMIFS($K67,$C67,"&lt;=31/12/2020")</f>
        <v>22.015996283367706</v>
      </c>
      <c r="BM67" s="38">
        <f t="shared" ref="BM67:BM72" si="95">SUMIFS($AF67:$AM67,$AF$4:$AM$4,"&lt;=2020")-BL67</f>
        <v>15.07230541454183</v>
      </c>
      <c r="BN67" s="38">
        <f t="shared" ref="BN67:BN72" si="96">SUMIFS($AO67:$AV67,$AO$4:$AV$4,"&lt;=2020")</f>
        <v>0</v>
      </c>
    </row>
    <row r="68" spans="2:66" x14ac:dyDescent="0.25">
      <c r="B68" s="164" t="str">
        <f>STN_2</f>
        <v>KLO</v>
      </c>
      <c r="C68" s="17">
        <f>Schedule!C45</f>
        <v>43692</v>
      </c>
      <c r="D68" s="17">
        <f>Schedule!D45</f>
        <v>44197</v>
      </c>
      <c r="E68" s="20">
        <f>Schedule!E45</f>
        <v>44896</v>
      </c>
      <c r="F68" s="677" t="s">
        <v>44</v>
      </c>
      <c r="G68" s="676" t="s">
        <v>19</v>
      </c>
      <c r="H68" s="676" t="str">
        <f t="shared" si="83"/>
        <v>Distribution system assetsReplacement</v>
      </c>
      <c r="I68" s="365">
        <f>Direct_Capex_Totals!Q59</f>
        <v>42.451327433628308</v>
      </c>
      <c r="J68" s="365">
        <f>Direct_Capex_Totals!R59</f>
        <v>6.9268689981691915</v>
      </c>
      <c r="K68" s="365">
        <f>Direct_Capex_Totals!S59</f>
        <v>13.209597770020622</v>
      </c>
      <c r="L68" s="365">
        <f>Direct_Capex_Totals!T59</f>
        <v>90.433832487250967</v>
      </c>
      <c r="M68" s="365">
        <f>Direct_Capex_Totals!U59</f>
        <v>0</v>
      </c>
      <c r="N68" s="6">
        <v>0</v>
      </c>
      <c r="O68" s="6">
        <v>0</v>
      </c>
      <c r="Q68" s="46"/>
      <c r="R68" s="38">
        <f>I68</f>
        <v>42.451327433628308</v>
      </c>
      <c r="S68" s="6"/>
      <c r="T68" s="6"/>
      <c r="U68" s="6"/>
      <c r="V68" s="6"/>
      <c r="W68" s="6"/>
      <c r="X68" s="38"/>
      <c r="Y68" s="38"/>
      <c r="Z68" s="191">
        <f>$J68*0.1</f>
        <v>0.69268689981691922</v>
      </c>
      <c r="AA68" s="191">
        <f t="shared" si="84"/>
        <v>2.0780606994507576</v>
      </c>
      <c r="AB68" s="191">
        <f t="shared" si="84"/>
        <v>2.0780606994507576</v>
      </c>
      <c r="AC68" s="191">
        <f t="shared" si="84"/>
        <v>2.0780606994507576</v>
      </c>
      <c r="AD68" s="6"/>
      <c r="AE68" s="6"/>
      <c r="AF68" s="6"/>
      <c r="AG68" s="6"/>
      <c r="AI68" s="324">
        <f>K68</f>
        <v>13.209597770020622</v>
      </c>
      <c r="AJ68" s="324">
        <f>L68*0.1</f>
        <v>9.0433832487250978</v>
      </c>
      <c r="AK68" s="324">
        <f>$L68*0.5</f>
        <v>45.216916243625484</v>
      </c>
      <c r="AL68" s="324">
        <f>$L68*0.4</f>
        <v>36.173532994900391</v>
      </c>
      <c r="AM68" s="38"/>
      <c r="AN68" s="38"/>
      <c r="AO68" s="38"/>
      <c r="AP68" s="38"/>
      <c r="AQ68" s="38"/>
      <c r="AR68" s="46"/>
      <c r="AS68" s="46"/>
      <c r="AT68" s="38">
        <f>$M68*0.5</f>
        <v>0</v>
      </c>
      <c r="AU68" s="38">
        <f>$M68*0.5</f>
        <v>0</v>
      </c>
      <c r="AV68" s="6"/>
      <c r="AW68" s="6"/>
      <c r="AX68" s="6">
        <f t="shared" si="85"/>
        <v>0</v>
      </c>
      <c r="AY68" s="6">
        <f t="shared" si="86"/>
        <v>0</v>
      </c>
      <c r="AZ68" s="6">
        <f t="shared" si="87"/>
        <v>0</v>
      </c>
      <c r="BA68" s="6">
        <f t="shared" si="88"/>
        <v>13.902284669837542</v>
      </c>
      <c r="BB68" s="6">
        <f t="shared" si="89"/>
        <v>53.572771381804166</v>
      </c>
      <c r="BC68" s="6">
        <f t="shared" si="90"/>
        <v>47.294976943076243</v>
      </c>
      <c r="BD68" s="6">
        <f t="shared" si="47"/>
        <v>38.251593694351151</v>
      </c>
      <c r="BE68" s="6">
        <f t="shared" si="48"/>
        <v>0</v>
      </c>
      <c r="BG68" s="14">
        <f t="shared" si="91"/>
        <v>153.02162668906911</v>
      </c>
      <c r="BH68" s="19">
        <f>BG68-Direct_Capex_Totals!V59</f>
        <v>0</v>
      </c>
      <c r="BJ68" s="38">
        <f t="shared" si="92"/>
        <v>42.451327433628308</v>
      </c>
      <c r="BK68" s="38">
        <f t="shared" si="93"/>
        <v>2.7707475992676769</v>
      </c>
      <c r="BL68" s="38">
        <f t="shared" si="94"/>
        <v>13.209597770020622</v>
      </c>
      <c r="BM68" s="38">
        <f t="shared" si="95"/>
        <v>9.0433832487250996</v>
      </c>
      <c r="BN68" s="38">
        <f t="shared" si="96"/>
        <v>0</v>
      </c>
    </row>
    <row r="69" spans="2:66" x14ac:dyDescent="0.25">
      <c r="B69" s="164" t="str">
        <f>STN_3</f>
        <v>LLG</v>
      </c>
      <c r="C69" s="17">
        <f>Schedule!C46</f>
        <v>43692</v>
      </c>
      <c r="D69" s="17">
        <f>Schedule!D46</f>
        <v>44136</v>
      </c>
      <c r="E69" s="20">
        <f>Schedule!E46</f>
        <v>44621</v>
      </c>
      <c r="F69" s="677" t="s">
        <v>44</v>
      </c>
      <c r="G69" s="676" t="s">
        <v>19</v>
      </c>
      <c r="H69" s="676" t="str">
        <f t="shared" si="83"/>
        <v>Distribution system assetsReplacement</v>
      </c>
      <c r="I69" s="365">
        <f>Direct_Capex_Totals!Q60</f>
        <v>14.150442477876103</v>
      </c>
      <c r="J69" s="365">
        <f>Direct_Capex_Totals!R60</f>
        <v>2.3089563327230636</v>
      </c>
      <c r="K69" s="365">
        <f>Direct_Capex_Totals!S60</f>
        <v>4.403199256673541</v>
      </c>
      <c r="L69" s="365">
        <f>Direct_Capex_Totals!T60</f>
        <v>30.144610829083657</v>
      </c>
      <c r="M69" s="365">
        <f>Direct_Capex_Totals!U60</f>
        <v>0</v>
      </c>
      <c r="N69" s="6">
        <v>0</v>
      </c>
      <c r="O69" s="6">
        <v>0</v>
      </c>
      <c r="Q69" s="46"/>
      <c r="R69" s="38">
        <f>I69</f>
        <v>14.150442477876103</v>
      </c>
      <c r="S69" s="6"/>
      <c r="T69" s="6"/>
      <c r="U69" s="6"/>
      <c r="V69" s="6"/>
      <c r="W69" s="6"/>
      <c r="X69" s="38"/>
      <c r="Y69" s="38"/>
      <c r="Z69" s="191">
        <f>$J69*0.1</f>
        <v>0.23089563327230636</v>
      </c>
      <c r="AA69" s="191">
        <f t="shared" si="84"/>
        <v>0.692686899816919</v>
      </c>
      <c r="AB69" s="191">
        <f t="shared" si="84"/>
        <v>0.692686899816919</v>
      </c>
      <c r="AC69" s="191">
        <f t="shared" si="84"/>
        <v>0.692686899816919</v>
      </c>
      <c r="AD69" s="6"/>
      <c r="AE69" s="6"/>
      <c r="AF69" s="6"/>
      <c r="AG69" s="6"/>
      <c r="AI69" s="324">
        <f>K69</f>
        <v>4.403199256673541</v>
      </c>
      <c r="AJ69" s="324">
        <f>L69*0.1</f>
        <v>3.0144610829083658</v>
      </c>
      <c r="AK69" s="324">
        <f>$L69*0.5</f>
        <v>15.072305414541828</v>
      </c>
      <c r="AL69" s="324">
        <f>$L69*0.4</f>
        <v>12.057844331633463</v>
      </c>
      <c r="AM69" s="38"/>
      <c r="AN69" s="38"/>
      <c r="AO69" s="38"/>
      <c r="AP69" s="38"/>
      <c r="AQ69" s="38"/>
      <c r="AR69" s="46"/>
      <c r="AS69" s="38">
        <f>$M69*0.1</f>
        <v>0</v>
      </c>
      <c r="AT69" s="38">
        <f>$M69*0.5</f>
        <v>0</v>
      </c>
      <c r="AU69" s="38">
        <f>$M69*0.4</f>
        <v>0</v>
      </c>
      <c r="AV69" s="6"/>
      <c r="AW69" s="6"/>
      <c r="AX69" s="6">
        <f t="shared" si="85"/>
        <v>0</v>
      </c>
      <c r="AY69" s="6">
        <f t="shared" si="86"/>
        <v>0</v>
      </c>
      <c r="AZ69" s="6">
        <f t="shared" si="87"/>
        <v>0</v>
      </c>
      <c r="BA69" s="6">
        <f t="shared" si="88"/>
        <v>4.634094889945847</v>
      </c>
      <c r="BB69" s="6">
        <f t="shared" si="89"/>
        <v>17.85759046060139</v>
      </c>
      <c r="BC69" s="6">
        <f t="shared" si="90"/>
        <v>15.764992314358748</v>
      </c>
      <c r="BD69" s="6">
        <f t="shared" si="47"/>
        <v>12.750531231450383</v>
      </c>
      <c r="BE69" s="6">
        <f t="shared" si="48"/>
        <v>0</v>
      </c>
      <c r="BG69" s="14">
        <f t="shared" si="91"/>
        <v>51.007208896356367</v>
      </c>
      <c r="BH69" s="19">
        <f>BG69-Direct_Capex_Totals!V60</f>
        <v>0</v>
      </c>
      <c r="BJ69" s="38">
        <f t="shared" si="92"/>
        <v>14.150442477876103</v>
      </c>
      <c r="BK69" s="38">
        <f t="shared" si="93"/>
        <v>0.92358253308922533</v>
      </c>
      <c r="BL69" s="38">
        <f t="shared" si="94"/>
        <v>4.403199256673541</v>
      </c>
      <c r="BM69" s="38">
        <f t="shared" si="95"/>
        <v>3.0144610829083662</v>
      </c>
      <c r="BN69" s="38">
        <f t="shared" si="96"/>
        <v>0</v>
      </c>
    </row>
    <row r="70" spans="2:66" x14ac:dyDescent="0.25">
      <c r="B70" s="164" t="str">
        <f>STN_4</f>
        <v>MSD</v>
      </c>
      <c r="C70" s="17">
        <f>Schedule!C47</f>
        <v>43595</v>
      </c>
      <c r="D70" s="17">
        <f>Schedule!D47</f>
        <v>43709</v>
      </c>
      <c r="E70" s="20">
        <f>Schedule!E47</f>
        <v>43891</v>
      </c>
      <c r="F70" s="677" t="s">
        <v>44</v>
      </c>
      <c r="G70" s="676" t="s">
        <v>19</v>
      </c>
      <c r="H70" s="676" t="str">
        <f t="shared" si="83"/>
        <v>Distribution system assetsReplacement</v>
      </c>
      <c r="I70" s="365">
        <f>Direct_Capex_Totals!Q61</f>
        <v>14.150442477876103</v>
      </c>
      <c r="J70" s="365">
        <f>Direct_Capex_Totals!R61</f>
        <v>2.3089563327230636</v>
      </c>
      <c r="K70" s="365">
        <f>Direct_Capex_Totals!S61</f>
        <v>4.403199256673541</v>
      </c>
      <c r="L70" s="365">
        <f>Direct_Capex_Totals!T61</f>
        <v>30.144610829083657</v>
      </c>
      <c r="M70" s="365">
        <f>Direct_Capex_Totals!U61</f>
        <v>0</v>
      </c>
      <c r="N70" s="6">
        <v>0</v>
      </c>
      <c r="O70" s="6">
        <v>0</v>
      </c>
      <c r="Q70" s="324">
        <f>I70</f>
        <v>14.150442477876103</v>
      </c>
      <c r="R70" s="38"/>
      <c r="S70" s="6"/>
      <c r="T70" s="6"/>
      <c r="U70" s="6"/>
      <c r="V70" s="6"/>
      <c r="W70" s="6"/>
      <c r="X70" s="38"/>
      <c r="Y70" s="38"/>
      <c r="Z70" s="38">
        <f>$J70*0.5</f>
        <v>1.1544781663615318</v>
      </c>
      <c r="AA70" s="38">
        <f>$J70*0.5</f>
        <v>1.1544781663615318</v>
      </c>
      <c r="AB70" s="38"/>
      <c r="AC70" s="38"/>
      <c r="AD70" s="6"/>
      <c r="AE70" s="6"/>
      <c r="AF70" s="6"/>
      <c r="AG70" s="6"/>
      <c r="AI70" s="38">
        <f>K70+$L70*0.5</f>
        <v>19.475504671215369</v>
      </c>
      <c r="AJ70" s="38">
        <f>$L70*0.5</f>
        <v>15.072305414541828</v>
      </c>
      <c r="AK70" s="38"/>
      <c r="AL70" s="38"/>
      <c r="AM70" s="38"/>
      <c r="AN70" s="38"/>
      <c r="AO70" s="38"/>
      <c r="AP70" s="38"/>
      <c r="AQ70" s="38"/>
      <c r="AR70" s="38">
        <f>$M70*0.5</f>
        <v>0</v>
      </c>
      <c r="AS70" s="38">
        <f>$M70*0.5</f>
        <v>0</v>
      </c>
      <c r="AT70" s="38"/>
      <c r="AU70" s="38"/>
      <c r="AV70" s="6"/>
      <c r="AW70" s="6"/>
      <c r="AX70" s="6">
        <f t="shared" si="85"/>
        <v>0</v>
      </c>
      <c r="AY70" s="6">
        <f t="shared" si="86"/>
        <v>0</v>
      </c>
      <c r="AZ70" s="6">
        <f t="shared" si="87"/>
        <v>0</v>
      </c>
      <c r="BA70" s="6">
        <f t="shared" si="88"/>
        <v>34.780425315453002</v>
      </c>
      <c r="BB70" s="6">
        <f t="shared" si="89"/>
        <v>16.226783580903358</v>
      </c>
      <c r="BC70" s="6">
        <f t="shared" si="90"/>
        <v>0</v>
      </c>
      <c r="BD70" s="6">
        <f t="shared" si="47"/>
        <v>0</v>
      </c>
      <c r="BE70" s="6">
        <f t="shared" si="48"/>
        <v>0</v>
      </c>
      <c r="BG70" s="14">
        <f t="shared" si="91"/>
        <v>51.00720889635636</v>
      </c>
      <c r="BH70" s="19">
        <f>BG70-Direct_Capex_Totals!V61</f>
        <v>0</v>
      </c>
      <c r="BJ70" s="38">
        <f t="shared" si="92"/>
        <v>14.150442477876103</v>
      </c>
      <c r="BK70" s="38">
        <f t="shared" si="93"/>
        <v>2.3089563327230636</v>
      </c>
      <c r="BL70" s="38">
        <f t="shared" si="94"/>
        <v>4.403199256673541</v>
      </c>
      <c r="BM70" s="38">
        <f t="shared" si="95"/>
        <v>30.144610829083657</v>
      </c>
      <c r="BN70" s="38">
        <f t="shared" si="96"/>
        <v>0</v>
      </c>
    </row>
    <row r="71" spans="2:66" x14ac:dyDescent="0.25">
      <c r="B71" s="164" t="str">
        <f>STN_5</f>
        <v>SLE</v>
      </c>
      <c r="C71" s="17">
        <f>Schedule!C48</f>
        <v>43692</v>
      </c>
      <c r="D71" s="17">
        <f>Schedule!D48</f>
        <v>44166</v>
      </c>
      <c r="E71" s="20">
        <f>Schedule!E48</f>
        <v>44652</v>
      </c>
      <c r="F71" s="677" t="s">
        <v>44</v>
      </c>
      <c r="G71" s="676" t="s">
        <v>19</v>
      </c>
      <c r="H71" s="676" t="str">
        <f t="shared" si="83"/>
        <v>Distribution system assetsReplacement</v>
      </c>
      <c r="I71" s="365">
        <f>Direct_Capex_Totals!Q62</f>
        <v>70.752212389380517</v>
      </c>
      <c r="J71" s="365">
        <f>Direct_Capex_Totals!R62</f>
        <v>11.544781663615318</v>
      </c>
      <c r="K71" s="365">
        <f>Direct_Capex_Totals!S62</f>
        <v>22.015996283367706</v>
      </c>
      <c r="L71" s="365">
        <f>Direct_Capex_Totals!T62</f>
        <v>150.72305414541827</v>
      </c>
      <c r="M71" s="365">
        <f>Direct_Capex_Totals!U62</f>
        <v>0</v>
      </c>
      <c r="N71" s="6">
        <v>0</v>
      </c>
      <c r="O71" s="6">
        <v>0</v>
      </c>
      <c r="Q71" s="46"/>
      <c r="R71" s="38">
        <f>I71</f>
        <v>70.752212389380517</v>
      </c>
      <c r="S71" s="6"/>
      <c r="T71" s="6"/>
      <c r="U71" s="6"/>
      <c r="V71" s="6"/>
      <c r="W71" s="6"/>
      <c r="X71" s="38"/>
      <c r="Y71" s="38"/>
      <c r="Z71" s="191">
        <f>$J71*0.1</f>
        <v>1.1544781663615318</v>
      </c>
      <c r="AA71" s="191">
        <f>$J71*0.3</f>
        <v>3.4634344990845953</v>
      </c>
      <c r="AB71" s="191">
        <f>$J71*0.3</f>
        <v>3.4634344990845953</v>
      </c>
      <c r="AC71" s="191">
        <f>$J71*0.3</f>
        <v>3.4634344990845953</v>
      </c>
      <c r="AD71" s="6"/>
      <c r="AE71" s="6"/>
      <c r="AF71" s="6"/>
      <c r="AG71" s="6"/>
      <c r="AI71" s="324">
        <f>K71</f>
        <v>22.015996283367706</v>
      </c>
      <c r="AJ71" s="324">
        <f>L71*0.1</f>
        <v>15.072305414541828</v>
      </c>
      <c r="AK71" s="324">
        <f>$L71*0.5</f>
        <v>75.361527072709137</v>
      </c>
      <c r="AL71" s="324">
        <f>$L71*0.4</f>
        <v>60.289221658167314</v>
      </c>
      <c r="AM71" s="38"/>
      <c r="AN71" s="38"/>
      <c r="AO71" s="38"/>
      <c r="AP71" s="38"/>
      <c r="AQ71" s="38"/>
      <c r="AR71" s="46"/>
      <c r="AS71" s="38">
        <f>$M71*0.1</f>
        <v>0</v>
      </c>
      <c r="AT71" s="38">
        <f>$M71*0.5</f>
        <v>0</v>
      </c>
      <c r="AU71" s="38">
        <f>$M71*0.4</f>
        <v>0</v>
      </c>
      <c r="AV71" s="6"/>
      <c r="AW71" s="6"/>
      <c r="AX71" s="6">
        <f t="shared" si="85"/>
        <v>0</v>
      </c>
      <c r="AY71" s="6">
        <f t="shared" si="86"/>
        <v>0</v>
      </c>
      <c r="AZ71" s="6">
        <f t="shared" si="87"/>
        <v>0</v>
      </c>
      <c r="BA71" s="6">
        <f t="shared" si="88"/>
        <v>23.170474449729237</v>
      </c>
      <c r="BB71" s="6">
        <f t="shared" si="89"/>
        <v>89.287952303006946</v>
      </c>
      <c r="BC71" s="6">
        <f t="shared" si="90"/>
        <v>78.824961571793736</v>
      </c>
      <c r="BD71" s="6">
        <f t="shared" si="47"/>
        <v>63.752656157251906</v>
      </c>
      <c r="BE71" s="6">
        <f t="shared" si="48"/>
        <v>0</v>
      </c>
      <c r="BG71" s="14">
        <f t="shared" si="91"/>
        <v>255.03604448178186</v>
      </c>
      <c r="BH71" s="19">
        <f>BG71-Direct_Capex_Totals!V62</f>
        <v>0</v>
      </c>
      <c r="BJ71" s="38">
        <f t="shared" si="92"/>
        <v>70.752212389380517</v>
      </c>
      <c r="BK71" s="38">
        <f t="shared" si="93"/>
        <v>4.6179126654461271</v>
      </c>
      <c r="BL71" s="38">
        <f t="shared" si="94"/>
        <v>22.015996283367706</v>
      </c>
      <c r="BM71" s="38">
        <f t="shared" si="95"/>
        <v>15.07230541454183</v>
      </c>
      <c r="BN71" s="38">
        <f t="shared" si="96"/>
        <v>0</v>
      </c>
    </row>
    <row r="72" spans="2:66" x14ac:dyDescent="0.25">
      <c r="B72" s="164" t="str">
        <f>STN_9</f>
        <v>KLO2</v>
      </c>
      <c r="C72" s="17">
        <f>Schedule!C49</f>
        <v>0</v>
      </c>
      <c r="D72" s="17">
        <f>Schedule!D49</f>
        <v>0</v>
      </c>
      <c r="E72" s="20">
        <f>Schedule!E49</f>
        <v>0</v>
      </c>
      <c r="F72" s="677" t="s">
        <v>44</v>
      </c>
      <c r="G72" s="676" t="s">
        <v>19</v>
      </c>
      <c r="H72" s="676" t="str">
        <f t="shared" si="83"/>
        <v>Distribution system assetsReplacement</v>
      </c>
      <c r="I72" s="365">
        <f>Direct_Capex_Totals!Q63</f>
        <v>0</v>
      </c>
      <c r="J72" s="365">
        <f>Direct_Capex_Totals!R63</f>
        <v>0</v>
      </c>
      <c r="K72" s="365">
        <f>Direct_Capex_Totals!S63</f>
        <v>0</v>
      </c>
      <c r="L72" s="365">
        <f>Direct_Capex_Totals!T63</f>
        <v>0</v>
      </c>
      <c r="M72" s="365">
        <f>Direct_Capex_Totals!U63</f>
        <v>0</v>
      </c>
      <c r="N72" s="6">
        <v>0</v>
      </c>
      <c r="O72" s="6">
        <v>0</v>
      </c>
      <c r="Q72" s="46"/>
      <c r="R72" s="38"/>
      <c r="S72" s="6"/>
      <c r="T72" s="6"/>
      <c r="U72" s="6"/>
      <c r="V72" s="6"/>
      <c r="W72" s="6"/>
      <c r="X72" s="6"/>
      <c r="Y72" s="6"/>
      <c r="AB72" s="6"/>
      <c r="AC72" s="6"/>
      <c r="AD72" s="6"/>
      <c r="AE72" s="6"/>
      <c r="AF72" s="6"/>
      <c r="AG72" s="6"/>
      <c r="AI72" s="46"/>
      <c r="AJ72" s="46"/>
      <c r="AK72" s="38"/>
      <c r="AL72" s="38"/>
      <c r="AM72" s="38"/>
      <c r="AN72" s="38"/>
      <c r="AO72" s="38"/>
      <c r="AP72" s="38"/>
      <c r="AQ72" s="38"/>
      <c r="AR72" s="46"/>
      <c r="AS72" s="46"/>
      <c r="AT72" s="38"/>
      <c r="AU72" s="38"/>
      <c r="AV72" s="6"/>
      <c r="AW72" s="6"/>
      <c r="AX72" s="6">
        <f t="shared" si="85"/>
        <v>0</v>
      </c>
      <c r="AY72" s="6">
        <f t="shared" si="86"/>
        <v>0</v>
      </c>
      <c r="AZ72" s="6">
        <f t="shared" si="87"/>
        <v>0</v>
      </c>
      <c r="BA72" s="6">
        <f t="shared" si="88"/>
        <v>0</v>
      </c>
      <c r="BB72" s="6">
        <f t="shared" si="89"/>
        <v>0</v>
      </c>
      <c r="BC72" s="6">
        <f t="shared" si="90"/>
        <v>0</v>
      </c>
      <c r="BD72" s="6">
        <f t="shared" si="47"/>
        <v>0</v>
      </c>
      <c r="BE72" s="6">
        <f t="shared" si="48"/>
        <v>0</v>
      </c>
      <c r="BG72" s="14">
        <f t="shared" si="91"/>
        <v>0</v>
      </c>
      <c r="BH72" s="19">
        <f>BG72-Direct_Capex_Totals!V63</f>
        <v>0</v>
      </c>
      <c r="BJ72" s="38">
        <f t="shared" si="92"/>
        <v>0</v>
      </c>
      <c r="BK72" s="38">
        <f t="shared" si="93"/>
        <v>0</v>
      </c>
      <c r="BL72" s="38">
        <f t="shared" si="94"/>
        <v>0</v>
      </c>
      <c r="BM72" s="38">
        <f t="shared" si="95"/>
        <v>0</v>
      </c>
      <c r="BN72" s="38">
        <f t="shared" si="96"/>
        <v>0</v>
      </c>
    </row>
    <row r="73" spans="2:66" x14ac:dyDescent="0.25">
      <c r="C73" s="46"/>
      <c r="D73" s="46"/>
      <c r="E73" s="20"/>
      <c r="F73" s="677"/>
      <c r="G73" s="677"/>
      <c r="H73" s="677"/>
      <c r="I73" s="8"/>
      <c r="J73" s="8"/>
      <c r="K73" s="8"/>
      <c r="L73" s="8"/>
      <c r="M73" s="8"/>
      <c r="N73" s="6"/>
      <c r="O73" s="6"/>
      <c r="P73" s="6"/>
      <c r="Q73" s="38"/>
      <c r="R73" s="38"/>
      <c r="S73" s="6"/>
      <c r="T73" s="6"/>
      <c r="U73" s="6"/>
      <c r="V73" s="6"/>
      <c r="W73" s="6"/>
      <c r="X73" s="6"/>
      <c r="Y73" s="6"/>
      <c r="AB73" s="6"/>
      <c r="AC73" s="6"/>
      <c r="AD73" s="6"/>
      <c r="AE73" s="6"/>
      <c r="AF73" s="6"/>
      <c r="AG73" s="6"/>
      <c r="AI73" s="46"/>
      <c r="AJ73" s="46"/>
      <c r="AK73" s="38"/>
      <c r="AL73" s="38"/>
      <c r="AM73" s="38"/>
      <c r="AN73" s="38"/>
      <c r="AO73" s="38"/>
      <c r="AP73" s="38"/>
      <c r="AQ73" s="38"/>
      <c r="AR73" s="46"/>
      <c r="AS73" s="46"/>
      <c r="AT73" s="38"/>
      <c r="AU73" s="38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2:66" x14ac:dyDescent="0.25">
      <c r="B74" s="25" t="s">
        <v>133</v>
      </c>
      <c r="C74" s="46"/>
      <c r="D74" s="46"/>
      <c r="E74" s="20"/>
      <c r="F74" s="677"/>
      <c r="G74" s="677"/>
      <c r="H74" s="677"/>
      <c r="I74" s="8"/>
      <c r="J74" s="8"/>
      <c r="K74" s="8"/>
      <c r="L74" s="8"/>
      <c r="M74" s="8"/>
      <c r="N74" s="6"/>
      <c r="O74" s="6"/>
      <c r="P74" s="6"/>
      <c r="Q74" s="38"/>
      <c r="R74" s="38"/>
      <c r="S74" s="6"/>
      <c r="T74" s="6"/>
      <c r="U74" s="6"/>
      <c r="V74" s="6"/>
      <c r="W74" s="6"/>
      <c r="X74" s="6"/>
      <c r="Y74" s="6"/>
      <c r="AB74" s="6"/>
      <c r="AC74" s="6"/>
      <c r="AD74" s="6"/>
      <c r="AE74" s="6"/>
      <c r="AF74" s="6"/>
      <c r="AG74" s="6"/>
      <c r="AI74" s="46"/>
      <c r="AJ74" s="46"/>
      <c r="AK74" s="38"/>
      <c r="AL74" s="38"/>
      <c r="AM74" s="38"/>
      <c r="AN74" s="38"/>
      <c r="AO74" s="38"/>
      <c r="AP74" s="38"/>
      <c r="AQ74" s="38"/>
      <c r="AR74" s="46"/>
      <c r="AS74" s="46"/>
      <c r="AT74" s="38"/>
      <c r="AU74" s="38"/>
      <c r="AV74" s="6"/>
      <c r="AW74" s="6"/>
      <c r="AX74" s="6"/>
      <c r="AY74" s="6"/>
      <c r="AZ74" s="6"/>
      <c r="BA74" s="6"/>
      <c r="BB74" s="6"/>
      <c r="BC74" s="6"/>
      <c r="BD74" s="6"/>
      <c r="BE74" s="6"/>
      <c r="BJ74" s="482" t="s">
        <v>151</v>
      </c>
      <c r="BK74" s="493" t="s">
        <v>63</v>
      </c>
      <c r="BL74" s="493" t="s">
        <v>7</v>
      </c>
      <c r="BM74" s="650" t="s">
        <v>380</v>
      </c>
      <c r="BN74" s="650" t="s">
        <v>77</v>
      </c>
    </row>
    <row r="75" spans="2:66" x14ac:dyDescent="0.25">
      <c r="B75" s="164" t="str">
        <f>STN_1</f>
        <v>BN</v>
      </c>
      <c r="C75" s="17">
        <f>Schedule!C52</f>
        <v>0</v>
      </c>
      <c r="D75" s="17">
        <f>Schedule!D52</f>
        <v>0</v>
      </c>
      <c r="E75" s="20">
        <f>Schedule!E52</f>
        <v>0</v>
      </c>
      <c r="F75" s="677" t="s">
        <v>44</v>
      </c>
      <c r="G75" s="677" t="s">
        <v>19</v>
      </c>
      <c r="H75" s="676" t="str">
        <f t="shared" ref="H75:H80" si="97">G75&amp;F75</f>
        <v>Distribution system assetsReplacement</v>
      </c>
      <c r="I75" s="365">
        <f>Direct_Capex_Totals!Q69</f>
        <v>0</v>
      </c>
      <c r="J75" s="365">
        <f>Direct_Capex_Totals!R69</f>
        <v>0</v>
      </c>
      <c r="K75" s="365">
        <f>Direct_Capex_Totals!S69</f>
        <v>0</v>
      </c>
      <c r="L75" s="365">
        <f>Direct_Capex_Totals!T69</f>
        <v>0</v>
      </c>
      <c r="M75" s="365">
        <f>Direct_Capex_Totals!U69</f>
        <v>0</v>
      </c>
      <c r="N75" s="6"/>
      <c r="O75" s="6"/>
      <c r="P75" s="6"/>
      <c r="Q75" s="38"/>
      <c r="R75" s="38"/>
      <c r="S75" s="6"/>
      <c r="T75" s="6"/>
      <c r="U75" s="6"/>
      <c r="V75" s="6"/>
      <c r="W75" s="6"/>
      <c r="X75" s="6"/>
      <c r="Y75" s="6"/>
      <c r="AB75" s="6"/>
      <c r="AC75" s="6"/>
      <c r="AD75" s="6"/>
      <c r="AE75" s="6"/>
      <c r="AF75" s="6"/>
      <c r="AG75" s="6"/>
      <c r="AI75" s="46"/>
      <c r="AJ75" s="46"/>
      <c r="AK75" s="38"/>
      <c r="AL75" s="38"/>
      <c r="AM75" s="38"/>
      <c r="AN75" s="38"/>
      <c r="AO75" s="38"/>
      <c r="AP75" s="38"/>
      <c r="AQ75" s="38"/>
      <c r="AR75" s="46"/>
      <c r="AS75" s="46"/>
      <c r="AT75" s="38"/>
      <c r="AU75" s="38"/>
      <c r="AV75" s="6"/>
      <c r="AW75" s="6"/>
      <c r="AX75" s="6">
        <f t="shared" ref="AX75:AX80" si="98">N75+W75+AF75+AO75</f>
        <v>0</v>
      </c>
      <c r="AY75" s="6">
        <f t="shared" ref="AY75:AY80" si="99">O75+X75+AG75+AP75</f>
        <v>0</v>
      </c>
      <c r="AZ75" s="6">
        <f t="shared" ref="AZ75:AZ80" si="100">P75+Y75+AH75+AQ75</f>
        <v>0</v>
      </c>
      <c r="BA75" s="6">
        <f t="shared" ref="BA75:BA80" si="101">Q75+Z75+AI75+AR75</f>
        <v>0</v>
      </c>
      <c r="BB75" s="6">
        <f t="shared" ref="BB75:BB80" si="102">R75+AA75+AJ75+AS75</f>
        <v>0</v>
      </c>
      <c r="BC75" s="6">
        <f t="shared" ref="BC75:BC80" si="103">SUM(S75,AB75,AK75,AT75)</f>
        <v>0</v>
      </c>
      <c r="BD75" s="6">
        <f t="shared" ref="BD75:BD80" si="104">SUM(T75,AC75,AL75,AU75)</f>
        <v>0</v>
      </c>
      <c r="BE75" s="6">
        <f t="shared" ref="BE75:BE80" si="105">SUM(U75,AD75,AM75,AV75)</f>
        <v>0</v>
      </c>
      <c r="BG75" s="14">
        <f t="shared" ref="BG75:BG80" si="106">SUM(AX75:BE75)</f>
        <v>0</v>
      </c>
      <c r="BH75" s="19">
        <f>BG75-Direct_Capex_Totals!V69</f>
        <v>0</v>
      </c>
      <c r="BJ75" s="38">
        <f t="shared" ref="BJ75:BJ80" si="107">SUMIFS($N75:$U75,$N$4:$U$4,"&lt;=2020")</f>
        <v>0</v>
      </c>
      <c r="BK75" s="38">
        <f t="shared" ref="BK75:BK80" si="108">SUMIFS($W75:$AD75,$W$4:$AD$4,"&lt;=2020")</f>
        <v>0</v>
      </c>
      <c r="BL75" s="38">
        <f t="shared" ref="BL75:BL80" si="109">SUMIFS($K75,$C75,"&lt;=31/12/2020")</f>
        <v>0</v>
      </c>
      <c r="BM75" s="38">
        <f t="shared" ref="BM75:BM80" si="110">SUMIFS($AF75:$AM75,$AF$4:$AM$4,"&lt;=2020")-BL75</f>
        <v>0</v>
      </c>
      <c r="BN75" s="38">
        <f t="shared" ref="BN75:BN80" si="111">SUMIFS($AO75:$AV75,$AO$4:$AV$4,"&lt;=2020")</f>
        <v>0</v>
      </c>
    </row>
    <row r="76" spans="2:66" x14ac:dyDescent="0.25">
      <c r="B76" s="164" t="str">
        <f>STN_2</f>
        <v>KLO</v>
      </c>
      <c r="C76" s="17">
        <f>Schedule!C53</f>
        <v>0</v>
      </c>
      <c r="D76" s="17">
        <f>Schedule!D53</f>
        <v>0</v>
      </c>
      <c r="E76" s="20">
        <f>Schedule!E53</f>
        <v>0</v>
      </c>
      <c r="F76" s="677" t="s">
        <v>44</v>
      </c>
      <c r="G76" s="677" t="s">
        <v>19</v>
      </c>
      <c r="H76" s="676" t="str">
        <f t="shared" si="97"/>
        <v>Distribution system assetsReplacement</v>
      </c>
      <c r="I76" s="365">
        <f>Direct_Capex_Totals!Q70</f>
        <v>0</v>
      </c>
      <c r="J76" s="365">
        <f>Direct_Capex_Totals!R70</f>
        <v>0</v>
      </c>
      <c r="K76" s="365">
        <f>Direct_Capex_Totals!S70</f>
        <v>0</v>
      </c>
      <c r="L76" s="365">
        <f>Direct_Capex_Totals!T70</f>
        <v>0</v>
      </c>
      <c r="M76" s="365">
        <f>Direct_Capex_Totals!U70</f>
        <v>0</v>
      </c>
      <c r="N76" s="6"/>
      <c r="O76" s="6"/>
      <c r="P76" s="6"/>
      <c r="Q76" s="38"/>
      <c r="R76" s="38"/>
      <c r="S76" s="6"/>
      <c r="T76" s="6"/>
      <c r="U76" s="6"/>
      <c r="V76" s="6"/>
      <c r="W76" s="6"/>
      <c r="X76" s="6"/>
      <c r="Y76" s="38"/>
      <c r="Z76" s="46"/>
      <c r="AA76" s="46"/>
      <c r="AB76" s="38"/>
      <c r="AC76" s="38"/>
      <c r="AD76" s="6"/>
      <c r="AE76" s="6"/>
      <c r="AF76" s="6"/>
      <c r="AG76" s="6"/>
      <c r="AI76" s="46"/>
      <c r="AJ76" s="46"/>
      <c r="AK76" s="38"/>
      <c r="AL76" s="38"/>
      <c r="AM76" s="38"/>
      <c r="AN76" s="38"/>
      <c r="AO76" s="38"/>
      <c r="AP76" s="38"/>
      <c r="AQ76" s="38"/>
      <c r="AR76" s="46"/>
      <c r="AS76" s="46"/>
      <c r="AT76" s="38"/>
      <c r="AU76" s="38"/>
      <c r="AV76" s="6"/>
      <c r="AW76" s="6"/>
      <c r="AX76" s="6">
        <f t="shared" si="98"/>
        <v>0</v>
      </c>
      <c r="AY76" s="6">
        <f t="shared" si="99"/>
        <v>0</v>
      </c>
      <c r="AZ76" s="6">
        <f t="shared" si="100"/>
        <v>0</v>
      </c>
      <c r="BA76" s="6">
        <f t="shared" si="101"/>
        <v>0</v>
      </c>
      <c r="BB76" s="6">
        <f t="shared" si="102"/>
        <v>0</v>
      </c>
      <c r="BC76" s="6">
        <f t="shared" si="103"/>
        <v>0</v>
      </c>
      <c r="BD76" s="6">
        <f t="shared" si="104"/>
        <v>0</v>
      </c>
      <c r="BE76" s="6">
        <f t="shared" si="105"/>
        <v>0</v>
      </c>
      <c r="BG76" s="14">
        <f t="shared" si="106"/>
        <v>0</v>
      </c>
      <c r="BH76" s="19">
        <f>BG76-Direct_Capex_Totals!V70</f>
        <v>0</v>
      </c>
      <c r="BJ76" s="38">
        <f t="shared" si="107"/>
        <v>0</v>
      </c>
      <c r="BK76" s="38">
        <f t="shared" si="108"/>
        <v>0</v>
      </c>
      <c r="BL76" s="38">
        <f t="shared" si="109"/>
        <v>0</v>
      </c>
      <c r="BM76" s="38">
        <f t="shared" si="110"/>
        <v>0</v>
      </c>
      <c r="BN76" s="38">
        <f t="shared" si="111"/>
        <v>0</v>
      </c>
    </row>
    <row r="77" spans="2:66" x14ac:dyDescent="0.25">
      <c r="B77" s="164" t="str">
        <f>STN_3</f>
        <v>LLG</v>
      </c>
      <c r="C77" s="17">
        <f>Schedule!C54</f>
        <v>0</v>
      </c>
      <c r="D77" s="17">
        <f>Schedule!D54</f>
        <v>0</v>
      </c>
      <c r="E77" s="20">
        <f>Schedule!E54</f>
        <v>0</v>
      </c>
      <c r="F77" s="677" t="s">
        <v>44</v>
      </c>
      <c r="G77" s="677" t="s">
        <v>19</v>
      </c>
      <c r="H77" s="676" t="str">
        <f t="shared" si="97"/>
        <v>Distribution system assetsReplacement</v>
      </c>
      <c r="I77" s="365">
        <f>Direct_Capex_Totals!Q71</f>
        <v>0</v>
      </c>
      <c r="J77" s="365">
        <f>Direct_Capex_Totals!R71</f>
        <v>0</v>
      </c>
      <c r="K77" s="365">
        <f>Direct_Capex_Totals!S71</f>
        <v>0</v>
      </c>
      <c r="L77" s="365">
        <f>Direct_Capex_Totals!T71</f>
        <v>0</v>
      </c>
      <c r="M77" s="365">
        <f>Direct_Capex_Totals!U71</f>
        <v>0</v>
      </c>
      <c r="N77" s="6"/>
      <c r="O77" s="6"/>
      <c r="P77" s="6"/>
      <c r="Q77" s="38"/>
      <c r="R77" s="38"/>
      <c r="S77" s="6"/>
      <c r="T77" s="6"/>
      <c r="U77" s="6"/>
      <c r="V77" s="6"/>
      <c r="W77" s="6"/>
      <c r="X77" s="6"/>
      <c r="Y77" s="38"/>
      <c r="Z77" s="46"/>
      <c r="AA77" s="46"/>
      <c r="AB77" s="38"/>
      <c r="AC77" s="38"/>
      <c r="AD77" s="6"/>
      <c r="AE77" s="6"/>
      <c r="AF77" s="6"/>
      <c r="AG77" s="6"/>
      <c r="AI77" s="46"/>
      <c r="AJ77" s="46"/>
      <c r="AK77" s="38"/>
      <c r="AL77" s="38"/>
      <c r="AM77" s="38"/>
      <c r="AN77" s="38"/>
      <c r="AO77" s="38"/>
      <c r="AP77" s="38"/>
      <c r="AQ77" s="38"/>
      <c r="AR77" s="46"/>
      <c r="AS77" s="46"/>
      <c r="AT77" s="38"/>
      <c r="AU77" s="38"/>
      <c r="AV77" s="6"/>
      <c r="AW77" s="6"/>
      <c r="AX77" s="6">
        <f t="shared" si="98"/>
        <v>0</v>
      </c>
      <c r="AY77" s="6">
        <f t="shared" si="99"/>
        <v>0</v>
      </c>
      <c r="AZ77" s="6">
        <f t="shared" si="100"/>
        <v>0</v>
      </c>
      <c r="BA77" s="6">
        <f t="shared" si="101"/>
        <v>0</v>
      </c>
      <c r="BB77" s="6">
        <f t="shared" si="102"/>
        <v>0</v>
      </c>
      <c r="BC77" s="6">
        <f t="shared" si="103"/>
        <v>0</v>
      </c>
      <c r="BD77" s="6">
        <f t="shared" si="104"/>
        <v>0</v>
      </c>
      <c r="BE77" s="6">
        <f t="shared" si="105"/>
        <v>0</v>
      </c>
      <c r="BG77" s="14">
        <f t="shared" si="106"/>
        <v>0</v>
      </c>
      <c r="BH77" s="19">
        <f>BG77-Direct_Capex_Totals!V71</f>
        <v>0</v>
      </c>
      <c r="BJ77" s="38">
        <f t="shared" si="107"/>
        <v>0</v>
      </c>
      <c r="BK77" s="38">
        <f t="shared" si="108"/>
        <v>0</v>
      </c>
      <c r="BL77" s="38">
        <f t="shared" si="109"/>
        <v>0</v>
      </c>
      <c r="BM77" s="38">
        <f t="shared" si="110"/>
        <v>0</v>
      </c>
      <c r="BN77" s="38">
        <f t="shared" si="111"/>
        <v>0</v>
      </c>
    </row>
    <row r="78" spans="2:66" x14ac:dyDescent="0.25">
      <c r="B78" s="164" t="str">
        <f>STN_4</f>
        <v>MSD</v>
      </c>
      <c r="C78" s="17">
        <f>Schedule!C55</f>
        <v>0</v>
      </c>
      <c r="D78" s="17">
        <f>Schedule!D55</f>
        <v>0</v>
      </c>
      <c r="E78" s="20">
        <f>Schedule!E55</f>
        <v>0</v>
      </c>
      <c r="F78" s="677" t="s">
        <v>44</v>
      </c>
      <c r="G78" s="677" t="s">
        <v>19</v>
      </c>
      <c r="H78" s="676" t="str">
        <f t="shared" si="97"/>
        <v>Distribution system assetsReplacement</v>
      </c>
      <c r="I78" s="365">
        <f>Direct_Capex_Totals!Q72</f>
        <v>0</v>
      </c>
      <c r="J78" s="365">
        <f>Direct_Capex_Totals!R72</f>
        <v>0</v>
      </c>
      <c r="K78" s="365">
        <f>Direct_Capex_Totals!S72</f>
        <v>0</v>
      </c>
      <c r="L78" s="365">
        <f>Direct_Capex_Totals!T72</f>
        <v>0</v>
      </c>
      <c r="M78" s="365">
        <f>Direct_Capex_Totals!U72</f>
        <v>0</v>
      </c>
      <c r="N78" s="6"/>
      <c r="O78" s="6"/>
      <c r="P78" s="6"/>
      <c r="Q78" s="38"/>
      <c r="R78" s="38"/>
      <c r="S78" s="6"/>
      <c r="T78" s="6"/>
      <c r="U78" s="6"/>
      <c r="V78" s="6"/>
      <c r="W78" s="6"/>
      <c r="X78" s="6"/>
      <c r="Y78" s="38"/>
      <c r="Z78" s="46"/>
      <c r="AA78" s="46"/>
      <c r="AB78" s="38"/>
      <c r="AC78" s="38"/>
      <c r="AD78" s="6"/>
      <c r="AE78" s="6"/>
      <c r="AF78" s="6"/>
      <c r="AG78" s="6"/>
      <c r="AI78" s="46"/>
      <c r="AJ78" s="46"/>
      <c r="AK78" s="38"/>
      <c r="AL78" s="38"/>
      <c r="AM78" s="38"/>
      <c r="AN78" s="38"/>
      <c r="AO78" s="38"/>
      <c r="AP78" s="38"/>
      <c r="AQ78" s="38"/>
      <c r="AR78" s="46"/>
      <c r="AS78" s="46"/>
      <c r="AT78" s="38"/>
      <c r="AU78" s="38"/>
      <c r="AV78" s="6"/>
      <c r="AW78" s="6"/>
      <c r="AX78" s="6">
        <f t="shared" si="98"/>
        <v>0</v>
      </c>
      <c r="AY78" s="6">
        <f t="shared" si="99"/>
        <v>0</v>
      </c>
      <c r="AZ78" s="6">
        <f t="shared" si="100"/>
        <v>0</v>
      </c>
      <c r="BA78" s="6">
        <f t="shared" si="101"/>
        <v>0</v>
      </c>
      <c r="BB78" s="6">
        <f t="shared" si="102"/>
        <v>0</v>
      </c>
      <c r="BC78" s="6">
        <f t="shared" si="103"/>
        <v>0</v>
      </c>
      <c r="BD78" s="6">
        <f t="shared" si="104"/>
        <v>0</v>
      </c>
      <c r="BE78" s="6">
        <f t="shared" si="105"/>
        <v>0</v>
      </c>
      <c r="BG78" s="14">
        <f t="shared" si="106"/>
        <v>0</v>
      </c>
      <c r="BH78" s="19">
        <f>BG78-Direct_Capex_Totals!V72</f>
        <v>0</v>
      </c>
      <c r="BJ78" s="38">
        <f t="shared" si="107"/>
        <v>0</v>
      </c>
      <c r="BK78" s="38">
        <f t="shared" si="108"/>
        <v>0</v>
      </c>
      <c r="BL78" s="38">
        <f t="shared" si="109"/>
        <v>0</v>
      </c>
      <c r="BM78" s="38">
        <f t="shared" si="110"/>
        <v>0</v>
      </c>
      <c r="BN78" s="38">
        <f t="shared" si="111"/>
        <v>0</v>
      </c>
    </row>
    <row r="79" spans="2:66" x14ac:dyDescent="0.25">
      <c r="B79" s="164" t="str">
        <f>STN_5</f>
        <v>SLE</v>
      </c>
      <c r="C79" s="17">
        <f>Schedule!C56</f>
        <v>43692</v>
      </c>
      <c r="D79" s="17">
        <f>Schedule!D56</f>
        <v>44166</v>
      </c>
      <c r="E79" s="20">
        <f>Schedule!E56</f>
        <v>44652</v>
      </c>
      <c r="F79" s="677" t="s">
        <v>44</v>
      </c>
      <c r="G79" s="677" t="s">
        <v>19</v>
      </c>
      <c r="H79" s="676" t="str">
        <f t="shared" si="97"/>
        <v>Distribution system assetsReplacement</v>
      </c>
      <c r="I79" s="365">
        <f>Direct_Capex_Totals!Q73</f>
        <v>182.28643631627907</v>
      </c>
      <c r="J79" s="365">
        <f>Direct_Capex_Totals!R73</f>
        <v>35.567784051893007</v>
      </c>
      <c r="K79" s="365">
        <f>Direct_Capex_Totals!S73</f>
        <v>0</v>
      </c>
      <c r="L79" s="365">
        <f>Direct_Capex_Totals!T73</f>
        <v>120.97525790697672</v>
      </c>
      <c r="M79" s="365">
        <f>Direct_Capex_Totals!U73</f>
        <v>0</v>
      </c>
      <c r="N79" s="6"/>
      <c r="O79" s="6"/>
      <c r="P79" s="6"/>
      <c r="Q79" s="38">
        <f>I79</f>
        <v>182.28643631627907</v>
      </c>
      <c r="R79" s="38"/>
      <c r="S79" s="6"/>
      <c r="T79" s="6"/>
      <c r="U79" s="6"/>
      <c r="V79" s="6"/>
      <c r="W79" s="6"/>
      <c r="X79" s="6"/>
      <c r="Y79" s="38"/>
      <c r="Z79" s="191">
        <f>$J79*0.1</f>
        <v>3.5567784051893008</v>
      </c>
      <c r="AA79" s="191">
        <f>$J79*0.3</f>
        <v>10.670335215567901</v>
      </c>
      <c r="AB79" s="191">
        <f>$J79*0.3</f>
        <v>10.670335215567901</v>
      </c>
      <c r="AC79" s="191">
        <f>$J79*0.3</f>
        <v>10.670335215567901</v>
      </c>
      <c r="AD79" s="6"/>
      <c r="AE79" s="6"/>
      <c r="AF79" s="6"/>
      <c r="AG79" s="6"/>
      <c r="AI79" s="324">
        <f>K79</f>
        <v>0</v>
      </c>
      <c r="AJ79" s="324">
        <f>L79*0.1</f>
        <v>12.097525790697674</v>
      </c>
      <c r="AK79" s="324">
        <f>$L79*0.5</f>
        <v>60.487628953488361</v>
      </c>
      <c r="AL79" s="324">
        <f>$L79*0.4</f>
        <v>48.390103162790695</v>
      </c>
      <c r="AM79" s="38"/>
      <c r="AN79" s="38"/>
      <c r="AO79" s="38"/>
      <c r="AP79" s="38"/>
      <c r="AQ79" s="38"/>
      <c r="AR79" s="46"/>
      <c r="AS79" s="38">
        <f>$M79*0.1</f>
        <v>0</v>
      </c>
      <c r="AT79" s="38">
        <f>$M79*0.5</f>
        <v>0</v>
      </c>
      <c r="AU79" s="38">
        <f>$M79*0.4</f>
        <v>0</v>
      </c>
      <c r="AV79" s="6"/>
      <c r="AW79" s="6"/>
      <c r="AX79" s="6">
        <f t="shared" si="98"/>
        <v>0</v>
      </c>
      <c r="AY79" s="6">
        <f t="shared" si="99"/>
        <v>0</v>
      </c>
      <c r="AZ79" s="6">
        <f t="shared" si="100"/>
        <v>0</v>
      </c>
      <c r="BA79" s="6">
        <f t="shared" si="101"/>
        <v>185.84321472146837</v>
      </c>
      <c r="BB79" s="6">
        <f t="shared" si="102"/>
        <v>22.767861006265576</v>
      </c>
      <c r="BC79" s="6">
        <f t="shared" si="103"/>
        <v>71.157964169056257</v>
      </c>
      <c r="BD79" s="6">
        <f t="shared" si="104"/>
        <v>59.060438378358597</v>
      </c>
      <c r="BE79" s="6">
        <f t="shared" si="105"/>
        <v>0</v>
      </c>
      <c r="BG79" s="14">
        <f t="shared" si="106"/>
        <v>338.8294782751488</v>
      </c>
      <c r="BH79" s="19">
        <f>BG79-Direct_Capex_Totals!V73</f>
        <v>0</v>
      </c>
      <c r="BJ79" s="38">
        <f t="shared" si="107"/>
        <v>182.28643631627907</v>
      </c>
      <c r="BK79" s="38">
        <f t="shared" si="108"/>
        <v>14.227113620757201</v>
      </c>
      <c r="BL79" s="38">
        <f t="shared" si="109"/>
        <v>0</v>
      </c>
      <c r="BM79" s="38">
        <f t="shared" si="110"/>
        <v>12.097525790697674</v>
      </c>
      <c r="BN79" s="38">
        <f t="shared" si="111"/>
        <v>0</v>
      </c>
    </row>
    <row r="80" spans="2:66" x14ac:dyDescent="0.25">
      <c r="B80" s="164" t="str">
        <f>STN_9</f>
        <v>KLO2</v>
      </c>
      <c r="C80" s="17">
        <f>Schedule!C57</f>
        <v>0</v>
      </c>
      <c r="D80" s="17">
        <f>Schedule!D57</f>
        <v>0</v>
      </c>
      <c r="E80" s="20">
        <f>Schedule!E57</f>
        <v>0</v>
      </c>
      <c r="F80" s="677" t="s">
        <v>44</v>
      </c>
      <c r="G80" s="677" t="s">
        <v>19</v>
      </c>
      <c r="H80" s="676" t="str">
        <f t="shared" si="97"/>
        <v>Distribution system assetsReplacement</v>
      </c>
      <c r="I80" s="365">
        <f>Direct_Capex_Totals!Q74</f>
        <v>0</v>
      </c>
      <c r="J80" s="365">
        <f>Direct_Capex_Totals!R74</f>
        <v>0</v>
      </c>
      <c r="K80" s="365">
        <f>Direct_Capex_Totals!S74</f>
        <v>0</v>
      </c>
      <c r="L80" s="365">
        <f>Direct_Capex_Totals!T74</f>
        <v>0</v>
      </c>
      <c r="M80" s="365">
        <f>Direct_Capex_Totals!U74</f>
        <v>0</v>
      </c>
      <c r="N80" s="6"/>
      <c r="O80" s="6"/>
      <c r="P80" s="6"/>
      <c r="Q80" s="38"/>
      <c r="R80" s="38"/>
      <c r="S80" s="6"/>
      <c r="T80" s="6"/>
      <c r="U80" s="6"/>
      <c r="V80" s="6"/>
      <c r="W80" s="6"/>
      <c r="X80" s="6"/>
      <c r="Y80" s="38"/>
      <c r="Z80" s="46"/>
      <c r="AA80" s="46"/>
      <c r="AB80" s="38"/>
      <c r="AC80" s="38"/>
      <c r="AD80" s="6"/>
      <c r="AE80" s="6"/>
      <c r="AF80" s="6"/>
      <c r="AG80" s="6"/>
      <c r="AI80" s="46"/>
      <c r="AJ80" s="46"/>
      <c r="AK80" s="38"/>
      <c r="AL80" s="38"/>
      <c r="AM80" s="38"/>
      <c r="AN80" s="38"/>
      <c r="AO80" s="38"/>
      <c r="AP80" s="38"/>
      <c r="AQ80" s="38"/>
      <c r="AR80" s="46"/>
      <c r="AS80" s="46"/>
      <c r="AT80" s="38"/>
      <c r="AU80" s="38"/>
      <c r="AV80" s="6"/>
      <c r="AW80" s="6"/>
      <c r="AX80" s="6">
        <f t="shared" si="98"/>
        <v>0</v>
      </c>
      <c r="AY80" s="6">
        <f t="shared" si="99"/>
        <v>0</v>
      </c>
      <c r="AZ80" s="6">
        <f t="shared" si="100"/>
        <v>0</v>
      </c>
      <c r="BA80" s="6">
        <f t="shared" si="101"/>
        <v>0</v>
      </c>
      <c r="BB80" s="6">
        <f t="shared" si="102"/>
        <v>0</v>
      </c>
      <c r="BC80" s="6">
        <f t="shared" si="103"/>
        <v>0</v>
      </c>
      <c r="BD80" s="6">
        <f t="shared" si="104"/>
        <v>0</v>
      </c>
      <c r="BE80" s="6">
        <f t="shared" si="105"/>
        <v>0</v>
      </c>
      <c r="BG80" s="14">
        <f t="shared" si="106"/>
        <v>0</v>
      </c>
      <c r="BH80" s="19">
        <f>BG80-Direct_Capex_Totals!V74</f>
        <v>0</v>
      </c>
      <c r="BJ80" s="38">
        <f t="shared" si="107"/>
        <v>0</v>
      </c>
      <c r="BK80" s="38">
        <f t="shared" si="108"/>
        <v>0</v>
      </c>
      <c r="BL80" s="38">
        <f t="shared" si="109"/>
        <v>0</v>
      </c>
      <c r="BM80" s="38">
        <f t="shared" si="110"/>
        <v>0</v>
      </c>
      <c r="BN80" s="38">
        <f t="shared" si="111"/>
        <v>0</v>
      </c>
    </row>
    <row r="81" spans="2:68" x14ac:dyDescent="0.25">
      <c r="C81" s="46"/>
      <c r="D81" s="46"/>
      <c r="E81" s="20"/>
      <c r="F81" s="677"/>
      <c r="G81" s="677"/>
      <c r="H81" s="677"/>
      <c r="I81" s="8"/>
      <c r="J81" s="8"/>
      <c r="K81" s="8"/>
      <c r="L81" s="8"/>
      <c r="M81" s="8"/>
      <c r="N81" s="6"/>
      <c r="O81" s="6"/>
      <c r="P81" s="6"/>
      <c r="Q81" s="38"/>
      <c r="R81" s="38"/>
      <c r="S81" s="6"/>
      <c r="T81" s="6"/>
      <c r="U81" s="6"/>
      <c r="V81" s="6"/>
      <c r="W81" s="6"/>
      <c r="X81" s="6"/>
      <c r="Y81" s="38"/>
      <c r="Z81" s="46"/>
      <c r="AA81" s="46"/>
      <c r="AB81" s="38"/>
      <c r="AC81" s="38"/>
      <c r="AD81" s="6"/>
      <c r="AE81" s="6"/>
      <c r="AF81" s="6"/>
      <c r="AG81" s="6"/>
      <c r="AI81" s="46"/>
      <c r="AJ81" s="46"/>
      <c r="AK81" s="38"/>
      <c r="AL81" s="38"/>
      <c r="AM81" s="38"/>
      <c r="AN81" s="38"/>
      <c r="AO81" s="38"/>
      <c r="AP81" s="38"/>
      <c r="AQ81" s="38"/>
      <c r="AR81" s="46"/>
      <c r="AS81" s="46"/>
      <c r="AT81" s="38"/>
      <c r="AU81" s="38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2:68" x14ac:dyDescent="0.25">
      <c r="B82" s="25" t="s">
        <v>132</v>
      </c>
      <c r="C82" s="46"/>
      <c r="D82" s="46"/>
      <c r="E82" s="20"/>
      <c r="F82" s="677"/>
      <c r="G82" s="677"/>
      <c r="H82" s="677"/>
      <c r="I82" s="8"/>
      <c r="J82" s="8"/>
      <c r="K82" s="8"/>
      <c r="L82" s="8"/>
      <c r="M82" s="8"/>
      <c r="N82" s="6"/>
      <c r="O82" s="6"/>
      <c r="P82" s="6"/>
      <c r="Q82" s="38"/>
      <c r="R82" s="38"/>
      <c r="S82" s="6"/>
      <c r="T82" s="6"/>
      <c r="U82" s="6"/>
      <c r="V82" s="6"/>
      <c r="W82" s="6"/>
      <c r="X82" s="6"/>
      <c r="Y82" s="38"/>
      <c r="Z82" s="46"/>
      <c r="AA82" s="46"/>
      <c r="AB82" s="38"/>
      <c r="AC82" s="38"/>
      <c r="AD82" s="6"/>
      <c r="AE82" s="6"/>
      <c r="AF82" s="6"/>
      <c r="AG82" s="6"/>
      <c r="AI82" s="46"/>
      <c r="AJ82" s="46"/>
      <c r="AK82" s="38"/>
      <c r="AL82" s="38"/>
      <c r="AM82" s="38"/>
      <c r="AN82" s="38"/>
      <c r="AO82" s="38"/>
      <c r="AP82" s="38"/>
      <c r="AQ82" s="38"/>
      <c r="AR82" s="46"/>
      <c r="AS82" s="46"/>
      <c r="AT82" s="38"/>
      <c r="AU82" s="38"/>
      <c r="AV82" s="6"/>
      <c r="AW82" s="6"/>
      <c r="AX82" s="6"/>
      <c r="AY82" s="6"/>
      <c r="AZ82" s="6"/>
      <c r="BA82" s="6"/>
      <c r="BB82" s="6"/>
      <c r="BC82" s="6"/>
      <c r="BD82" s="6"/>
      <c r="BE82" s="6"/>
      <c r="BJ82" s="482" t="s">
        <v>151</v>
      </c>
      <c r="BK82" s="493" t="s">
        <v>63</v>
      </c>
      <c r="BL82" s="493" t="s">
        <v>7</v>
      </c>
      <c r="BM82" s="650" t="s">
        <v>380</v>
      </c>
      <c r="BN82" s="650" t="s">
        <v>77</v>
      </c>
    </row>
    <row r="83" spans="2:68" x14ac:dyDescent="0.25">
      <c r="B83" s="164" t="str">
        <f>STN_1</f>
        <v>BN</v>
      </c>
      <c r="C83" s="17">
        <f>Schedule!C60</f>
        <v>43692</v>
      </c>
      <c r="D83" s="17">
        <f>Schedule!D60</f>
        <v>44105</v>
      </c>
      <c r="E83" s="17">
        <f>Schedule!E60</f>
        <v>44715</v>
      </c>
      <c r="F83" s="677" t="s">
        <v>42</v>
      </c>
      <c r="G83" s="678" t="s">
        <v>19</v>
      </c>
      <c r="H83" s="676" t="str">
        <f t="shared" ref="H83:H88" si="112">G83&amp;F83</f>
        <v>Distribution system assetsAugmentation</v>
      </c>
      <c r="I83" s="365">
        <f>Direct_Capex_Totals!Q80</f>
        <v>61.771702694825947</v>
      </c>
      <c r="J83" s="365">
        <f>Direct_Capex_Totals!R80</f>
        <v>19.554074018872438</v>
      </c>
      <c r="K83" s="365">
        <f>Direct_Capex_Totals!S80</f>
        <v>12.419924783703831</v>
      </c>
      <c r="L83" s="365">
        <f>Direct_Capex_Totals!T80</f>
        <v>67.067593832000654</v>
      </c>
      <c r="M83" s="365">
        <f>Direct_Capex_Totals!U80</f>
        <v>18.113506805249713</v>
      </c>
      <c r="N83" s="6"/>
      <c r="O83" s="6"/>
      <c r="Q83" s="46"/>
      <c r="R83" s="38">
        <f>I83</f>
        <v>61.771702694825947</v>
      </c>
      <c r="S83" s="38"/>
      <c r="T83" s="6"/>
      <c r="U83" s="6"/>
      <c r="V83" s="6"/>
      <c r="W83" s="6"/>
      <c r="X83" s="6"/>
      <c r="Y83" s="38"/>
      <c r="Z83" s="191">
        <f>$J83*0.1</f>
        <v>1.9554074018872438</v>
      </c>
      <c r="AA83" s="191">
        <f t="shared" ref="AA83:AC85" si="113">$J83*0.3</f>
        <v>5.8662222056617308</v>
      </c>
      <c r="AB83" s="191">
        <f t="shared" si="113"/>
        <v>5.8662222056617308</v>
      </c>
      <c r="AC83" s="191">
        <f t="shared" si="113"/>
        <v>5.8662222056617308</v>
      </c>
      <c r="AD83" s="6"/>
      <c r="AE83" s="6"/>
      <c r="AF83" s="6"/>
      <c r="AG83" s="6"/>
      <c r="AI83" s="324">
        <f>K83*0.2</f>
        <v>2.4839849567407661</v>
      </c>
      <c r="AJ83" s="324">
        <f>K83*0.8+L83*0.1</f>
        <v>16.64269921016313</v>
      </c>
      <c r="AK83" s="324">
        <f>$L83*0.5</f>
        <v>33.533796916000327</v>
      </c>
      <c r="AL83" s="324">
        <f>$L83*0.4</f>
        <v>26.827037532800261</v>
      </c>
      <c r="AM83" s="38"/>
      <c r="AN83" s="38"/>
      <c r="AO83" s="38"/>
      <c r="AP83" s="38"/>
      <c r="AQ83" s="38"/>
      <c r="AR83" s="46"/>
      <c r="AS83" s="38">
        <f>$M83*0.1</f>
        <v>1.8113506805249715</v>
      </c>
      <c r="AT83" s="38">
        <f>$M83*0.5</f>
        <v>9.0567534026248566</v>
      </c>
      <c r="AU83" s="38">
        <f>$M83*0.4</f>
        <v>7.245402722099886</v>
      </c>
      <c r="AV83" s="6"/>
      <c r="AW83" s="6"/>
      <c r="AX83" s="6">
        <f t="shared" ref="AX83:AX88" si="114">N83+W83+AF83+AO83</f>
        <v>0</v>
      </c>
      <c r="AY83" s="6">
        <f t="shared" ref="AY83:AY88" si="115">O83+X83+AG83+AP83</f>
        <v>0</v>
      </c>
      <c r="AZ83" s="6">
        <f t="shared" ref="AZ83:AZ88" si="116">P83+Y83+AH83+AQ83</f>
        <v>0</v>
      </c>
      <c r="BA83" s="6">
        <f t="shared" ref="BA83:BA88" si="117">Q83+Z83+AI83+AR83</f>
        <v>4.4393923586280097</v>
      </c>
      <c r="BB83" s="6">
        <f t="shared" ref="BB83:BB88" si="118">R83+AA83+AJ83+AS83</f>
        <v>86.091974791175772</v>
      </c>
      <c r="BC83" s="6">
        <f>SUM(S83,AB83,AK83,AT83)</f>
        <v>48.456772524286912</v>
      </c>
      <c r="BD83" s="6">
        <f>SUM(T83,AC83,AL83,AU83)</f>
        <v>39.938662460561872</v>
      </c>
      <c r="BE83" s="6">
        <f t="shared" si="48"/>
        <v>0</v>
      </c>
      <c r="BG83" s="14">
        <f t="shared" ref="BG83:BG88" si="119">SUM(AX83:BE83)</f>
        <v>178.92680213465258</v>
      </c>
      <c r="BH83" s="6">
        <f>BG83-Direct_Capex_Totals!V80</f>
        <v>0</v>
      </c>
      <c r="BJ83" s="38">
        <f t="shared" ref="BJ83:BJ88" si="120">SUMIFS($N83:$U83,$N$4:$U$4,"&lt;=2020")</f>
        <v>61.771702694825947</v>
      </c>
      <c r="BK83" s="38">
        <f t="shared" ref="BK83:BK88" si="121">SUMIFS($W83:$AD83,$W$4:$AD$4,"&lt;=2020")</f>
        <v>7.8216296075489744</v>
      </c>
      <c r="BL83" s="38">
        <f t="shared" ref="BL83:BL88" si="122">SUMIFS($K83,$C83,"&lt;=31/12/2020")</f>
        <v>12.419924783703831</v>
      </c>
      <c r="BM83" s="38">
        <f t="shared" ref="BM83:BM88" si="123">SUMIFS($AF83:$AM83,$AF$4:$AM$4,"&lt;=2020")-BL83</f>
        <v>6.7067593832000654</v>
      </c>
      <c r="BN83" s="38">
        <f t="shared" ref="BN83:BN88" si="124">SUMIFS($AO83:$AV83,$AO$4:$AV$4,"&lt;=2020")</f>
        <v>1.8113506805249715</v>
      </c>
    </row>
    <row r="84" spans="2:68" x14ac:dyDescent="0.25">
      <c r="B84" s="164" t="str">
        <f>STN_2</f>
        <v>KLO</v>
      </c>
      <c r="C84" s="17">
        <f>Schedule!C61</f>
        <v>43692</v>
      </c>
      <c r="D84" s="17">
        <f>Schedule!D61</f>
        <v>44197</v>
      </c>
      <c r="E84" s="17">
        <f>Schedule!E61</f>
        <v>44896</v>
      </c>
      <c r="F84" s="677" t="s">
        <v>42</v>
      </c>
      <c r="G84" s="678" t="s">
        <v>19</v>
      </c>
      <c r="H84" s="676" t="str">
        <f t="shared" si="112"/>
        <v>Distribution system assetsAugmentation</v>
      </c>
      <c r="I84" s="365">
        <f>Direct_Capex_Totals!Q81</f>
        <v>92.657554042238928</v>
      </c>
      <c r="J84" s="365">
        <f>Direct_Capex_Totals!R81</f>
        <v>29.331111028308651</v>
      </c>
      <c r="K84" s="365">
        <f>Direct_Capex_Totals!S81</f>
        <v>18.629887175555744</v>
      </c>
      <c r="L84" s="365">
        <f>Direct_Capex_Totals!T81</f>
        <v>100.60139074800098</v>
      </c>
      <c r="M84" s="365">
        <f>Direct_Capex_Totals!U81</f>
        <v>27.17026020787457</v>
      </c>
      <c r="N84" s="6"/>
      <c r="O84" s="6"/>
      <c r="Q84" s="46"/>
      <c r="R84" s="38">
        <f>I84</f>
        <v>92.657554042238928</v>
      </c>
      <c r="S84" s="38"/>
      <c r="T84" s="6"/>
      <c r="U84" s="6"/>
      <c r="V84" s="6"/>
      <c r="W84" s="6"/>
      <c r="X84" s="6"/>
      <c r="Y84" s="38"/>
      <c r="Z84" s="191">
        <f>$J84*0.1</f>
        <v>2.9331111028308654</v>
      </c>
      <c r="AA84" s="191">
        <f t="shared" si="113"/>
        <v>8.7993333084925958</v>
      </c>
      <c r="AB84" s="191">
        <f t="shared" si="113"/>
        <v>8.7993333084925958</v>
      </c>
      <c r="AC84" s="191">
        <f t="shared" si="113"/>
        <v>8.7993333084925958</v>
      </c>
      <c r="AD84" s="6"/>
      <c r="AE84" s="6"/>
      <c r="AF84" s="6"/>
      <c r="AG84" s="6"/>
      <c r="AI84" s="324">
        <f>K84*0.2</f>
        <v>3.7259774351111492</v>
      </c>
      <c r="AJ84" s="324">
        <f>K84*0.8+L84*0.1</f>
        <v>24.964048815244695</v>
      </c>
      <c r="AK84" s="324">
        <f>$L84*0.5</f>
        <v>50.30069537400049</v>
      </c>
      <c r="AL84" s="324">
        <f>$L84*0.4</f>
        <v>40.240556299200392</v>
      </c>
      <c r="AM84" s="38"/>
      <c r="AN84" s="38"/>
      <c r="AO84" s="38"/>
      <c r="AP84" s="38"/>
      <c r="AQ84" s="38"/>
      <c r="AR84" s="46"/>
      <c r="AS84" s="46"/>
      <c r="AT84" s="38">
        <f>$M84*0.5</f>
        <v>13.585130103937285</v>
      </c>
      <c r="AU84" s="38">
        <f>$M84*0.5</f>
        <v>13.585130103937285</v>
      </c>
      <c r="AV84" s="6"/>
      <c r="AW84" s="6"/>
      <c r="AX84" s="6">
        <f t="shared" si="114"/>
        <v>0</v>
      </c>
      <c r="AY84" s="6">
        <f t="shared" si="115"/>
        <v>0</v>
      </c>
      <c r="AZ84" s="6">
        <f t="shared" si="116"/>
        <v>0</v>
      </c>
      <c r="BA84" s="6">
        <f t="shared" si="117"/>
        <v>6.6590885379420151</v>
      </c>
      <c r="BB84" s="6">
        <f t="shared" si="118"/>
        <v>126.42093616597622</v>
      </c>
      <c r="BC84" s="6">
        <f>SUM(S84,AB84,AK84,AT84)</f>
        <v>72.685158786430378</v>
      </c>
      <c r="BD84" s="6">
        <f t="shared" si="47"/>
        <v>62.625019711630273</v>
      </c>
      <c r="BE84" s="6">
        <f t="shared" si="48"/>
        <v>0</v>
      </c>
      <c r="BG84" s="14">
        <f t="shared" si="119"/>
        <v>268.39020320197892</v>
      </c>
      <c r="BH84" s="6">
        <f>BG84-Direct_Capex_Totals!V81</f>
        <v>0</v>
      </c>
      <c r="BJ84" s="38">
        <f t="shared" si="120"/>
        <v>92.657554042238928</v>
      </c>
      <c r="BK84" s="38">
        <f t="shared" si="121"/>
        <v>11.732444411323462</v>
      </c>
      <c r="BL84" s="38">
        <f t="shared" si="122"/>
        <v>18.629887175555744</v>
      </c>
      <c r="BM84" s="38">
        <f t="shared" si="123"/>
        <v>10.060139074800098</v>
      </c>
      <c r="BN84" s="38">
        <f t="shared" si="124"/>
        <v>0</v>
      </c>
    </row>
    <row r="85" spans="2:68" x14ac:dyDescent="0.25">
      <c r="B85" s="164" t="str">
        <f>STN_3</f>
        <v>LLG</v>
      </c>
      <c r="C85" s="17">
        <f>Schedule!C62</f>
        <v>43692</v>
      </c>
      <c r="D85" s="17">
        <f>Schedule!D62</f>
        <v>44136</v>
      </c>
      <c r="E85" s="17">
        <f>Schedule!E62</f>
        <v>44621</v>
      </c>
      <c r="F85" s="677" t="s">
        <v>42</v>
      </c>
      <c r="G85" s="678" t="s">
        <v>19</v>
      </c>
      <c r="H85" s="676" t="str">
        <f t="shared" si="112"/>
        <v>Distribution system assetsAugmentation</v>
      </c>
      <c r="I85" s="365">
        <f>Direct_Capex_Totals!Q82</f>
        <v>30.885851347412974</v>
      </c>
      <c r="J85" s="365">
        <f>Direct_Capex_Totals!R82</f>
        <v>9.7770370094362189</v>
      </c>
      <c r="K85" s="365">
        <f>Direct_Capex_Totals!S82</f>
        <v>6.2099623918519153</v>
      </c>
      <c r="L85" s="365">
        <f>Direct_Capex_Totals!T82</f>
        <v>33.533796916000327</v>
      </c>
      <c r="M85" s="365">
        <f>Direct_Capex_Totals!U82</f>
        <v>9.0567534026248566</v>
      </c>
      <c r="N85" s="6"/>
      <c r="O85" s="6"/>
      <c r="Q85" s="46"/>
      <c r="R85" s="38">
        <f>I85</f>
        <v>30.885851347412974</v>
      </c>
      <c r="S85" s="38"/>
      <c r="T85" s="6"/>
      <c r="U85" s="6"/>
      <c r="V85" s="6"/>
      <c r="W85" s="6"/>
      <c r="X85" s="6"/>
      <c r="Y85" s="38"/>
      <c r="Z85" s="191">
        <f>$J85*0.1</f>
        <v>0.97770370094362191</v>
      </c>
      <c r="AA85" s="191">
        <f t="shared" si="113"/>
        <v>2.9331111028308654</v>
      </c>
      <c r="AB85" s="191">
        <f t="shared" si="113"/>
        <v>2.9331111028308654</v>
      </c>
      <c r="AC85" s="191">
        <f t="shared" si="113"/>
        <v>2.9331111028308654</v>
      </c>
      <c r="AD85" s="6"/>
      <c r="AE85" s="6"/>
      <c r="AF85" s="6"/>
      <c r="AG85" s="6"/>
      <c r="AI85" s="324">
        <f>K85*0.2</f>
        <v>1.2419924783703831</v>
      </c>
      <c r="AJ85" s="324">
        <f>K85*0.8+L85*0.1</f>
        <v>8.321349605081565</v>
      </c>
      <c r="AK85" s="324">
        <f>$L85*0.5</f>
        <v>16.766898458000163</v>
      </c>
      <c r="AL85" s="324">
        <f>$L85*0.4</f>
        <v>13.413518766400131</v>
      </c>
      <c r="AM85" s="38"/>
      <c r="AN85" s="38"/>
      <c r="AO85" s="38"/>
      <c r="AP85" s="38"/>
      <c r="AQ85" s="38"/>
      <c r="AR85" s="46"/>
      <c r="AS85" s="38">
        <f>$M85*0.1</f>
        <v>0.90567534026248575</v>
      </c>
      <c r="AT85" s="38">
        <f>$M85*0.5</f>
        <v>4.5283767013124283</v>
      </c>
      <c r="AU85" s="38">
        <f>$M85*0.4</f>
        <v>3.622701361049943</v>
      </c>
      <c r="AV85" s="6"/>
      <c r="AW85" s="6"/>
      <c r="AX85" s="6">
        <f t="shared" si="114"/>
        <v>0</v>
      </c>
      <c r="AY85" s="6">
        <f t="shared" si="115"/>
        <v>0</v>
      </c>
      <c r="AZ85" s="6">
        <f t="shared" si="116"/>
        <v>0</v>
      </c>
      <c r="BA85" s="6">
        <f t="shared" si="117"/>
        <v>2.2196961793140049</v>
      </c>
      <c r="BB85" s="6">
        <f t="shared" si="118"/>
        <v>43.045987395587886</v>
      </c>
      <c r="BC85" s="6">
        <f>SUM(S85,AB85,AK85,AT85)</f>
        <v>24.228386262143456</v>
      </c>
      <c r="BD85" s="6">
        <f t="shared" si="47"/>
        <v>19.969331230280936</v>
      </c>
      <c r="BE85" s="6">
        <f t="shared" si="48"/>
        <v>0</v>
      </c>
      <c r="BG85" s="14">
        <f t="shared" si="119"/>
        <v>89.463401067326288</v>
      </c>
      <c r="BH85" s="6">
        <f>BG85-Direct_Capex_Totals!V82</f>
        <v>0</v>
      </c>
      <c r="BJ85" s="38">
        <f t="shared" si="120"/>
        <v>30.885851347412974</v>
      </c>
      <c r="BK85" s="38">
        <f t="shared" si="121"/>
        <v>3.9108148037744872</v>
      </c>
      <c r="BL85" s="38">
        <f t="shared" si="122"/>
        <v>6.2099623918519153</v>
      </c>
      <c r="BM85" s="38">
        <f t="shared" si="123"/>
        <v>3.3533796916000327</v>
      </c>
      <c r="BN85" s="38">
        <f t="shared" si="124"/>
        <v>0.90567534026248575</v>
      </c>
    </row>
    <row r="86" spans="2:68" x14ac:dyDescent="0.25">
      <c r="B86" s="164" t="str">
        <f>STN_4</f>
        <v>MSD</v>
      </c>
      <c r="C86" s="17">
        <f>Schedule!C63</f>
        <v>0</v>
      </c>
      <c r="D86" s="17">
        <f>Schedule!D63</f>
        <v>0</v>
      </c>
      <c r="E86" s="17">
        <f>Schedule!E63</f>
        <v>0</v>
      </c>
      <c r="F86" s="677" t="s">
        <v>42</v>
      </c>
      <c r="G86" s="678" t="s">
        <v>19</v>
      </c>
      <c r="H86" s="676" t="str">
        <f t="shared" si="112"/>
        <v>Distribution system assetsAugmentation</v>
      </c>
      <c r="I86" s="365">
        <f>Direct_Capex_Totals!Q83</f>
        <v>0</v>
      </c>
      <c r="J86" s="365">
        <f>Direct_Capex_Totals!R83</f>
        <v>0</v>
      </c>
      <c r="K86" s="365">
        <f>Direct_Capex_Totals!S83</f>
        <v>0</v>
      </c>
      <c r="L86" s="365">
        <f>Direct_Capex_Totals!T83</f>
        <v>0</v>
      </c>
      <c r="M86" s="365">
        <f>Direct_Capex_Totals!U83</f>
        <v>0</v>
      </c>
      <c r="N86" s="6"/>
      <c r="O86" s="6"/>
      <c r="Q86" s="324">
        <f>I86</f>
        <v>0</v>
      </c>
      <c r="R86" s="38"/>
      <c r="S86" s="38"/>
      <c r="T86" s="6"/>
      <c r="U86" s="6"/>
      <c r="V86" s="6"/>
      <c r="W86" s="6"/>
      <c r="X86" s="6"/>
      <c r="Y86" s="38"/>
      <c r="Z86" s="38"/>
      <c r="AA86" s="38"/>
      <c r="AB86" s="38"/>
      <c r="AC86" s="38"/>
      <c r="AD86" s="38"/>
      <c r="AE86" s="38"/>
      <c r="AF86" s="38"/>
      <c r="AG86" s="38"/>
      <c r="AH86" s="46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6"/>
      <c r="AW86" s="6"/>
      <c r="AX86" s="6">
        <f t="shared" si="114"/>
        <v>0</v>
      </c>
      <c r="AY86" s="6">
        <f t="shared" si="115"/>
        <v>0</v>
      </c>
      <c r="AZ86" s="6">
        <f t="shared" si="116"/>
        <v>0</v>
      </c>
      <c r="BA86" s="6">
        <f t="shared" si="117"/>
        <v>0</v>
      </c>
      <c r="BB86" s="6">
        <f t="shared" si="118"/>
        <v>0</v>
      </c>
      <c r="BC86" s="6">
        <f>SUM(S86,AB86,AK86,AT86)</f>
        <v>0</v>
      </c>
      <c r="BD86" s="6">
        <f t="shared" si="47"/>
        <v>0</v>
      </c>
      <c r="BE86" s="6">
        <f t="shared" si="48"/>
        <v>0</v>
      </c>
      <c r="BG86" s="14">
        <f t="shared" si="119"/>
        <v>0</v>
      </c>
      <c r="BH86" s="6">
        <f>BG86-Direct_Capex_Totals!V83</f>
        <v>0</v>
      </c>
      <c r="BJ86" s="38">
        <f t="shared" si="120"/>
        <v>0</v>
      </c>
      <c r="BK86" s="38">
        <f t="shared" si="121"/>
        <v>0</v>
      </c>
      <c r="BL86" s="38">
        <f t="shared" si="122"/>
        <v>0</v>
      </c>
      <c r="BM86" s="38">
        <f t="shared" si="123"/>
        <v>0</v>
      </c>
      <c r="BN86" s="38">
        <f t="shared" si="124"/>
        <v>0</v>
      </c>
    </row>
    <row r="87" spans="2:68" x14ac:dyDescent="0.25">
      <c r="B87" s="164" t="str">
        <f>STN_5</f>
        <v>SLE</v>
      </c>
      <c r="C87" s="17">
        <f>Schedule!C64</f>
        <v>43692</v>
      </c>
      <c r="D87" s="17">
        <f>Schedule!D64</f>
        <v>44166</v>
      </c>
      <c r="E87" s="17">
        <f>Schedule!E64</f>
        <v>44652</v>
      </c>
      <c r="F87" s="677" t="s">
        <v>42</v>
      </c>
      <c r="G87" s="678" t="s">
        <v>19</v>
      </c>
      <c r="H87" s="676" t="str">
        <f t="shared" si="112"/>
        <v>Distribution system assetsAugmentation</v>
      </c>
      <c r="I87" s="365">
        <f>Direct_Capex_Totals!Q84</f>
        <v>30.885851347412974</v>
      </c>
      <c r="J87" s="365">
        <f>Direct_Capex_Totals!R84</f>
        <v>9.7770370094362189</v>
      </c>
      <c r="K87" s="365">
        <f>Direct_Capex_Totals!S84</f>
        <v>6.2099623918519153</v>
      </c>
      <c r="L87" s="365">
        <f>Direct_Capex_Totals!T84</f>
        <v>33.533796916000327</v>
      </c>
      <c r="M87" s="365">
        <f>Direct_Capex_Totals!U84</f>
        <v>9.0567534026248566</v>
      </c>
      <c r="N87" s="6"/>
      <c r="O87" s="6"/>
      <c r="Q87" s="46"/>
      <c r="R87" s="38">
        <f>I87</f>
        <v>30.885851347412974</v>
      </c>
      <c r="S87" s="38"/>
      <c r="T87" s="6"/>
      <c r="U87" s="6"/>
      <c r="V87" s="6"/>
      <c r="W87" s="6"/>
      <c r="X87" s="6"/>
      <c r="Y87" s="38"/>
      <c r="Z87" s="191">
        <f>$J87*0.1</f>
        <v>0.97770370094362191</v>
      </c>
      <c r="AA87" s="191">
        <f>$J87*0.3</f>
        <v>2.9331111028308654</v>
      </c>
      <c r="AB87" s="191">
        <f>$J87*0.3</f>
        <v>2.9331111028308654</v>
      </c>
      <c r="AC87" s="191">
        <f>$J87*0.3</f>
        <v>2.9331111028308654</v>
      </c>
      <c r="AD87" s="6"/>
      <c r="AE87" s="6"/>
      <c r="AF87" s="6"/>
      <c r="AG87" s="6"/>
      <c r="AI87" s="324">
        <f>K87*0.2</f>
        <v>1.2419924783703831</v>
      </c>
      <c r="AJ87" s="324">
        <f>K87*0.8+L87*0.1</f>
        <v>8.321349605081565</v>
      </c>
      <c r="AK87" s="324">
        <f>$L87*0.5</f>
        <v>16.766898458000163</v>
      </c>
      <c r="AL87" s="324">
        <f>$L87*0.4</f>
        <v>13.413518766400131</v>
      </c>
      <c r="AM87" s="38"/>
      <c r="AN87" s="38"/>
      <c r="AO87" s="38"/>
      <c r="AP87" s="38"/>
      <c r="AQ87" s="38"/>
      <c r="AR87" s="46"/>
      <c r="AS87" s="38">
        <f>$M87*0.1</f>
        <v>0.90567534026248575</v>
      </c>
      <c r="AT87" s="38">
        <f>$M87*0.5</f>
        <v>4.5283767013124283</v>
      </c>
      <c r="AU87" s="38">
        <f>$M87*0.4</f>
        <v>3.622701361049943</v>
      </c>
      <c r="AV87" s="6"/>
      <c r="AW87" s="6"/>
      <c r="AX87" s="6">
        <f t="shared" si="114"/>
        <v>0</v>
      </c>
      <c r="AY87" s="6">
        <f t="shared" si="115"/>
        <v>0</v>
      </c>
      <c r="AZ87" s="6">
        <f t="shared" si="116"/>
        <v>0</v>
      </c>
      <c r="BA87" s="6">
        <f t="shared" si="117"/>
        <v>2.2196961793140049</v>
      </c>
      <c r="BB87" s="6">
        <f t="shared" si="118"/>
        <v>43.045987395587886</v>
      </c>
      <c r="BC87" s="6">
        <f>SUM(S87,AB87,AK87,AT87)</f>
        <v>24.228386262143456</v>
      </c>
      <c r="BD87" s="6">
        <f t="shared" si="47"/>
        <v>19.969331230280936</v>
      </c>
      <c r="BE87" s="6">
        <f t="shared" si="48"/>
        <v>0</v>
      </c>
      <c r="BG87" s="14">
        <f t="shared" si="119"/>
        <v>89.463401067326288</v>
      </c>
      <c r="BH87" s="6">
        <f>BG87-Direct_Capex_Totals!V84</f>
        <v>0</v>
      </c>
      <c r="BJ87" s="38">
        <f t="shared" si="120"/>
        <v>30.885851347412974</v>
      </c>
      <c r="BK87" s="38">
        <f t="shared" si="121"/>
        <v>3.9108148037744872</v>
      </c>
      <c r="BL87" s="38">
        <f t="shared" si="122"/>
        <v>6.2099623918519153</v>
      </c>
      <c r="BM87" s="38">
        <f t="shared" si="123"/>
        <v>3.3533796916000327</v>
      </c>
      <c r="BN87" s="38">
        <f t="shared" si="124"/>
        <v>0.90567534026248575</v>
      </c>
    </row>
    <row r="88" spans="2:68" x14ac:dyDescent="0.25">
      <c r="B88" s="164" t="str">
        <f>STN_9</f>
        <v>KLO2</v>
      </c>
      <c r="C88" s="17">
        <f>Schedule!C65</f>
        <v>0</v>
      </c>
      <c r="D88" s="17">
        <f>Schedule!D65</f>
        <v>0</v>
      </c>
      <c r="E88" s="17">
        <f>Schedule!E65</f>
        <v>0</v>
      </c>
      <c r="F88" s="677" t="s">
        <v>42</v>
      </c>
      <c r="G88" s="678" t="s">
        <v>19</v>
      </c>
      <c r="H88" s="676" t="str">
        <f t="shared" si="112"/>
        <v>Distribution system assetsAugmentation</v>
      </c>
      <c r="I88" s="365">
        <f>Direct_Capex_Totals!Q85</f>
        <v>0</v>
      </c>
      <c r="J88" s="365">
        <f>Direct_Capex_Totals!R85</f>
        <v>0</v>
      </c>
      <c r="K88" s="365">
        <f>Direct_Capex_Totals!S85</f>
        <v>0</v>
      </c>
      <c r="L88" s="365">
        <f>Direct_Capex_Totals!T85</f>
        <v>0</v>
      </c>
      <c r="M88" s="365">
        <f>Direct_Capex_Totals!U85</f>
        <v>0</v>
      </c>
      <c r="N88" s="6"/>
      <c r="O88" s="6"/>
      <c r="Q88" s="46"/>
      <c r="R88" s="38"/>
      <c r="S88" s="6"/>
      <c r="T88" s="6"/>
      <c r="U88" s="6"/>
      <c r="V88" s="6"/>
      <c r="W88" s="6"/>
      <c r="X88" s="6"/>
      <c r="Y88" s="38"/>
      <c r="Z88" s="46"/>
      <c r="AA88" s="46"/>
      <c r="AB88" s="38"/>
      <c r="AC88" s="38"/>
      <c r="AD88" s="6"/>
      <c r="AE88" s="6"/>
      <c r="AF88" s="6"/>
      <c r="AG88" s="6"/>
      <c r="AI88" s="46"/>
      <c r="AJ88" s="46"/>
      <c r="AK88" s="38"/>
      <c r="AL88" s="38"/>
      <c r="AM88" s="38"/>
      <c r="AN88" s="38"/>
      <c r="AO88" s="38"/>
      <c r="AP88" s="38"/>
      <c r="AQ88" s="38"/>
      <c r="AR88" s="46"/>
      <c r="AS88" s="46"/>
      <c r="AT88" s="38"/>
      <c r="AU88" s="38"/>
      <c r="AV88" s="6"/>
      <c r="AW88" s="6"/>
      <c r="AX88" s="6">
        <f t="shared" si="114"/>
        <v>0</v>
      </c>
      <c r="AY88" s="6">
        <f t="shared" si="115"/>
        <v>0</v>
      </c>
      <c r="AZ88" s="6">
        <f t="shared" si="116"/>
        <v>0</v>
      </c>
      <c r="BA88" s="6">
        <f t="shared" si="117"/>
        <v>0</v>
      </c>
      <c r="BB88" s="6">
        <f t="shared" si="118"/>
        <v>0</v>
      </c>
      <c r="BC88" s="6">
        <f>SUM(S88,AB88,AK88,AT88)</f>
        <v>0</v>
      </c>
      <c r="BD88" s="6">
        <f t="shared" si="47"/>
        <v>0</v>
      </c>
      <c r="BE88" s="6">
        <f t="shared" si="48"/>
        <v>0</v>
      </c>
      <c r="BG88" s="14">
        <f t="shared" si="119"/>
        <v>0</v>
      </c>
      <c r="BH88" s="6">
        <f>BG88-Direct_Capex_Totals!V85</f>
        <v>0</v>
      </c>
      <c r="BJ88" s="38">
        <f t="shared" si="120"/>
        <v>0</v>
      </c>
      <c r="BK88" s="38">
        <f t="shared" si="121"/>
        <v>0</v>
      </c>
      <c r="BL88" s="38">
        <f t="shared" si="122"/>
        <v>0</v>
      </c>
      <c r="BM88" s="38">
        <f t="shared" si="123"/>
        <v>0</v>
      </c>
      <c r="BN88" s="38">
        <f t="shared" si="124"/>
        <v>0</v>
      </c>
    </row>
    <row r="89" spans="2:68" x14ac:dyDescent="0.25">
      <c r="C89" s="46"/>
      <c r="D89" s="46"/>
      <c r="E89" s="20"/>
      <c r="F89" s="677"/>
      <c r="G89" s="677"/>
      <c r="H89" s="677"/>
      <c r="I89" s="8"/>
      <c r="J89" s="8"/>
      <c r="K89" s="8"/>
      <c r="L89" s="8"/>
      <c r="M89" s="8"/>
      <c r="N89" s="6"/>
      <c r="O89" s="6"/>
      <c r="P89" s="6"/>
      <c r="Q89" s="38"/>
      <c r="R89" s="38"/>
      <c r="S89" s="6"/>
      <c r="T89" s="6"/>
      <c r="U89" s="6"/>
      <c r="V89" s="6"/>
      <c r="W89" s="6"/>
      <c r="X89" s="6"/>
      <c r="Y89" s="38"/>
      <c r="Z89" s="38"/>
      <c r="AA89" s="38"/>
      <c r="AB89" s="38"/>
      <c r="AC89" s="38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2:68" x14ac:dyDescent="0.25">
      <c r="B90" s="25" t="s">
        <v>138</v>
      </c>
      <c r="C90" s="46"/>
      <c r="D90" s="46"/>
      <c r="E90" s="20"/>
      <c r="F90" s="677"/>
      <c r="G90" s="677"/>
      <c r="H90" s="677"/>
      <c r="I90" s="8"/>
      <c r="J90" s="8"/>
      <c r="K90" s="8"/>
      <c r="L90" s="8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2:68" x14ac:dyDescent="0.25">
      <c r="B91" s="164" t="s">
        <v>137</v>
      </c>
      <c r="C91" s="17">
        <f>Schedule!C68</f>
        <v>43692</v>
      </c>
      <c r="D91" s="17">
        <f>Schedule!D68</f>
        <v>44166</v>
      </c>
      <c r="E91" s="17">
        <f>Schedule!E68</f>
        <v>44896</v>
      </c>
      <c r="F91" s="677" t="s">
        <v>44</v>
      </c>
      <c r="G91" s="678" t="s">
        <v>19</v>
      </c>
      <c r="H91" s="676" t="str">
        <f t="shared" ref="H91:H98" si="125">G91&amp;F91</f>
        <v>Distribution system assetsReplacement</v>
      </c>
      <c r="I91" s="365">
        <v>2043.3238938053094</v>
      </c>
      <c r="J91" s="365">
        <v>524.38371116597625</v>
      </c>
      <c r="K91" s="365">
        <v>334.64314350718911</v>
      </c>
      <c r="L91" s="365">
        <v>941.18384111396949</v>
      </c>
      <c r="M91" s="365">
        <v>0</v>
      </c>
      <c r="N91" s="38">
        <v>0</v>
      </c>
      <c r="O91" s="38">
        <v>0</v>
      </c>
      <c r="P91" s="38">
        <v>0</v>
      </c>
      <c r="Q91" s="38">
        <v>0</v>
      </c>
      <c r="R91" s="38">
        <v>134.42920353982299</v>
      </c>
      <c r="S91" s="38">
        <v>1156.0911504424778</v>
      </c>
      <c r="T91" s="38">
        <v>752.80353982300869</v>
      </c>
      <c r="U91" s="38">
        <v>0</v>
      </c>
      <c r="V91" s="38"/>
      <c r="W91" s="38">
        <v>0</v>
      </c>
      <c r="X91" s="38">
        <v>0</v>
      </c>
      <c r="Y91" s="38">
        <v>0</v>
      </c>
      <c r="Z91" s="38">
        <v>0</v>
      </c>
      <c r="AA91" s="38">
        <v>34.498928366182653</v>
      </c>
      <c r="AB91" s="38">
        <v>296.69078394917079</v>
      </c>
      <c r="AC91" s="38">
        <v>193.19399885062285</v>
      </c>
      <c r="AD91" s="38">
        <v>0</v>
      </c>
      <c r="AE91" s="38"/>
      <c r="AF91" s="38">
        <v>0</v>
      </c>
      <c r="AG91" s="38">
        <v>0</v>
      </c>
      <c r="AH91" s="38">
        <v>0</v>
      </c>
      <c r="AI91" s="38">
        <v>0</v>
      </c>
      <c r="AJ91" s="38">
        <v>83.935985830339376</v>
      </c>
      <c r="AK91" s="38">
        <v>721.84947814091868</v>
      </c>
      <c r="AL91" s="38">
        <v>470.04152064990058</v>
      </c>
      <c r="AM91" s="38">
        <v>0</v>
      </c>
      <c r="AN91" s="38"/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6"/>
      <c r="AX91" s="6">
        <f t="shared" ref="AX91:BB98" si="126">N91+W91+AF91+AO91</f>
        <v>0</v>
      </c>
      <c r="AY91" s="6">
        <f t="shared" si="126"/>
        <v>0</v>
      </c>
      <c r="AZ91" s="6">
        <f t="shared" si="126"/>
        <v>0</v>
      </c>
      <c r="BA91" s="6">
        <f t="shared" si="126"/>
        <v>0</v>
      </c>
      <c r="BB91" s="6">
        <f t="shared" si="126"/>
        <v>252.86411773634504</v>
      </c>
      <c r="BC91" s="6">
        <f t="shared" ref="BC91:BC99" si="127">S91+AB91+AK91+AT91</f>
        <v>2174.6314125325671</v>
      </c>
      <c r="BD91" s="6">
        <f t="shared" ref="BD91:BD99" si="128">T91+AC91+AL91+AU91</f>
        <v>1416.039059323532</v>
      </c>
      <c r="BE91" s="6">
        <f t="shared" ref="BE91:BE99" si="129">U91+AD91+AM91+AV91</f>
        <v>0</v>
      </c>
      <c r="BG91" s="14">
        <f t="shared" ref="BG91:BG99" si="130">SUM(AX91:BE91)</f>
        <v>3843.5345895924443</v>
      </c>
      <c r="BH91" s="19">
        <f>BG91+BG92-Direct_Capex_Totals!V91</f>
        <v>0</v>
      </c>
      <c r="BI91" s="46"/>
      <c r="BJ91" s="38">
        <f t="shared" ref="BJ91:BJ104" si="131">SUMIFS($N91:$U91,$N$4:$U$4,"&lt;=2020")</f>
        <v>134.42920353982299</v>
      </c>
      <c r="BK91" s="38">
        <f t="shared" ref="BK91:BK104" si="132">SUMIFS($W91:$AD91,$W$4:$AD$4,"&lt;=2020")</f>
        <v>34.498928366182653</v>
      </c>
      <c r="BL91" s="38">
        <f t="shared" ref="BL91:BL104" si="133">SUMIFS($K91,$C91,"&lt;=31/12/2020")</f>
        <v>334.64314350718911</v>
      </c>
      <c r="BM91" s="38">
        <f t="shared" ref="BM91:BM104" si="134">SUMIFS($AF91:$AM91,$AF$4:$AM$4,"&lt;=2020")-BL91</f>
        <v>-250.70715767684973</v>
      </c>
      <c r="BN91" s="38">
        <f t="shared" ref="BN91:BN104" si="135">SUMIFS($AO91:$AV91,$AO$4:$AV$4,"&lt;=2020")</f>
        <v>0</v>
      </c>
      <c r="BO91" s="46"/>
      <c r="BP91" s="46"/>
    </row>
    <row r="92" spans="2:68" s="46" customFormat="1" x14ac:dyDescent="0.25">
      <c r="B92" s="165" t="s">
        <v>438</v>
      </c>
      <c r="C92" s="17">
        <f>Schedule!C69</f>
        <v>43831</v>
      </c>
      <c r="D92" s="17">
        <f>Schedule!D69</f>
        <v>43983</v>
      </c>
      <c r="E92" s="17">
        <f>Schedule!E69</f>
        <v>44896</v>
      </c>
      <c r="F92" s="676" t="s">
        <v>44</v>
      </c>
      <c r="G92" s="676" t="s">
        <v>22</v>
      </c>
      <c r="H92" s="676" t="str">
        <f t="shared" si="125"/>
        <v>SCADA/Network controlReplacement</v>
      </c>
      <c r="I92" s="365">
        <v>0</v>
      </c>
      <c r="J92" s="365">
        <v>0</v>
      </c>
      <c r="K92" s="365">
        <v>0</v>
      </c>
      <c r="L92" s="365">
        <v>123.36323366555922</v>
      </c>
      <c r="M92" s="365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/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/>
      <c r="AF92" s="38">
        <v>0</v>
      </c>
      <c r="AG92" s="38">
        <v>0</v>
      </c>
      <c r="AH92" s="38">
        <v>0</v>
      </c>
      <c r="AI92" s="38">
        <v>0</v>
      </c>
      <c r="AJ92" s="38">
        <v>8.1160022148394226</v>
      </c>
      <c r="AK92" s="38">
        <v>69.797619047619037</v>
      </c>
      <c r="AL92" s="38">
        <v>45.449612403100765</v>
      </c>
      <c r="AM92" s="38">
        <v>0</v>
      </c>
      <c r="AN92" s="38"/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/>
      <c r="AX92" s="38">
        <f t="shared" si="126"/>
        <v>0</v>
      </c>
      <c r="AY92" s="38">
        <f t="shared" si="126"/>
        <v>0</v>
      </c>
      <c r="AZ92" s="38">
        <f t="shared" si="126"/>
        <v>0</v>
      </c>
      <c r="BA92" s="38">
        <f t="shared" si="126"/>
        <v>0</v>
      </c>
      <c r="BB92" s="38">
        <f t="shared" si="126"/>
        <v>8.1160022148394226</v>
      </c>
      <c r="BC92" s="38">
        <f t="shared" si="127"/>
        <v>69.797619047619037</v>
      </c>
      <c r="BD92" s="38">
        <f t="shared" si="128"/>
        <v>45.449612403100765</v>
      </c>
      <c r="BE92" s="38">
        <f t="shared" si="129"/>
        <v>0</v>
      </c>
      <c r="BG92" s="191">
        <f t="shared" si="130"/>
        <v>123.36323366555922</v>
      </c>
      <c r="BH92" s="325"/>
      <c r="BJ92" s="38">
        <f t="shared" si="131"/>
        <v>0</v>
      </c>
      <c r="BK92" s="38">
        <f t="shared" si="132"/>
        <v>0</v>
      </c>
      <c r="BL92" s="38">
        <f t="shared" si="133"/>
        <v>0</v>
      </c>
      <c r="BM92" s="38">
        <f t="shared" si="134"/>
        <v>8.1160022148394226</v>
      </c>
      <c r="BN92" s="38">
        <f t="shared" si="135"/>
        <v>0</v>
      </c>
    </row>
    <row r="93" spans="2:68" s="46" customFormat="1" x14ac:dyDescent="0.25">
      <c r="B93" s="165" t="s">
        <v>532</v>
      </c>
      <c r="C93" s="17"/>
      <c r="D93" s="17"/>
      <c r="E93" s="17"/>
      <c r="F93" s="677" t="s">
        <v>44</v>
      </c>
      <c r="G93" s="678" t="s">
        <v>19</v>
      </c>
      <c r="H93" s="676" t="str">
        <f>G93&amp;F93</f>
        <v>Distribution system assetsReplacement</v>
      </c>
      <c r="I93" s="365">
        <f>Direct_Capex_Totals!Q92</f>
        <v>74.600368324125228</v>
      </c>
      <c r="J93" s="365">
        <f>Direct_Capex_Totals!R92</f>
        <v>0</v>
      </c>
      <c r="K93" s="365">
        <f>Direct_Capex_Totals!S92</f>
        <v>0</v>
      </c>
      <c r="L93" s="365">
        <f>Direct_Capex_Totals!T92</f>
        <v>0</v>
      </c>
      <c r="M93" s="365">
        <f>Direct_Capex_Totals!U92</f>
        <v>0</v>
      </c>
      <c r="N93" s="38">
        <f>Other_Capex!D26</f>
        <v>0</v>
      </c>
      <c r="O93" s="38">
        <f>Other_Capex!E26</f>
        <v>0</v>
      </c>
      <c r="P93" s="38">
        <f>Other_Capex!F26</f>
        <v>0</v>
      </c>
      <c r="Q93" s="38">
        <f>Other_Capex!G26</f>
        <v>0</v>
      </c>
      <c r="R93" s="38">
        <f>Other_Capex!H26</f>
        <v>0</v>
      </c>
      <c r="S93" s="38">
        <f>Other_Capex!I26</f>
        <v>0</v>
      </c>
      <c r="T93" s="38">
        <f>Other_Capex!J26</f>
        <v>74.600368324125228</v>
      </c>
      <c r="U93" s="38">
        <f>Other_Capex!K26</f>
        <v>0</v>
      </c>
      <c r="V93" s="38"/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/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/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/>
      <c r="AX93" s="38">
        <f t="shared" si="126"/>
        <v>0</v>
      </c>
      <c r="AY93" s="38">
        <f t="shared" si="126"/>
        <v>0</v>
      </c>
      <c r="AZ93" s="38">
        <f t="shared" si="126"/>
        <v>0</v>
      </c>
      <c r="BA93" s="38">
        <f t="shared" si="126"/>
        <v>0</v>
      </c>
      <c r="BB93" s="38">
        <f t="shared" si="126"/>
        <v>0</v>
      </c>
      <c r="BC93" s="38">
        <f t="shared" ref="BC93:BE95" si="136">S93+AB93+AK93+AT93</f>
        <v>0</v>
      </c>
      <c r="BD93" s="38">
        <f t="shared" si="136"/>
        <v>74.600368324125228</v>
      </c>
      <c r="BE93" s="38">
        <f t="shared" si="136"/>
        <v>0</v>
      </c>
      <c r="BG93" s="191">
        <f>SUM(AX93:BE93)</f>
        <v>74.600368324125228</v>
      </c>
      <c r="BH93" s="325">
        <f>BG93-Direct_Capex_Totals!V92</f>
        <v>0</v>
      </c>
      <c r="BJ93" s="38">
        <f t="shared" si="131"/>
        <v>0</v>
      </c>
      <c r="BK93" s="38">
        <f t="shared" si="132"/>
        <v>0</v>
      </c>
      <c r="BL93" s="38">
        <f t="shared" si="133"/>
        <v>0</v>
      </c>
      <c r="BM93" s="38">
        <f t="shared" si="134"/>
        <v>0</v>
      </c>
      <c r="BN93" s="38">
        <f t="shared" si="135"/>
        <v>0</v>
      </c>
    </row>
    <row r="94" spans="2:68" s="46" customFormat="1" x14ac:dyDescent="0.25">
      <c r="B94" s="165" t="s">
        <v>673</v>
      </c>
      <c r="C94" s="17"/>
      <c r="D94" s="17"/>
      <c r="E94" s="17"/>
      <c r="F94" s="676" t="s">
        <v>42</v>
      </c>
      <c r="G94" s="678" t="s">
        <v>19</v>
      </c>
      <c r="H94" s="676" t="str">
        <f>G94&amp;F94</f>
        <v>Distribution system assetsAugmentation</v>
      </c>
      <c r="I94" s="365">
        <f>Direct_Capex_Totals!Q93</f>
        <v>425.68971098407928</v>
      </c>
      <c r="J94" s="365">
        <f>Direct_Capex_Totals!R93</f>
        <v>110.38527250898218</v>
      </c>
      <c r="K94" s="365">
        <f>Direct_Capex_Totals!S93</f>
        <v>105.52047369028728</v>
      </c>
      <c r="L94" s="365">
        <f>Direct_Capex_Totals!T93</f>
        <v>647.72377840440117</v>
      </c>
      <c r="M94" s="365">
        <f>Direct_Capex_Totals!U93</f>
        <v>75.260118014578239</v>
      </c>
      <c r="N94" s="38">
        <v>0</v>
      </c>
      <c r="O94" s="38">
        <v>0</v>
      </c>
      <c r="P94" s="38">
        <v>0</v>
      </c>
      <c r="Q94" s="38">
        <v>0</v>
      </c>
      <c r="R94" s="38">
        <v>70.948285164013214</v>
      </c>
      <c r="S94" s="38">
        <v>177.37071291003303</v>
      </c>
      <c r="T94" s="38">
        <v>177.37071291003303</v>
      </c>
      <c r="U94" s="38">
        <v>0</v>
      </c>
      <c r="V94" s="38"/>
      <c r="W94" s="38">
        <v>0</v>
      </c>
      <c r="X94" s="38">
        <v>0</v>
      </c>
      <c r="Y94" s="38">
        <v>0</v>
      </c>
      <c r="Z94" s="38">
        <v>0</v>
      </c>
      <c r="AA94" s="38">
        <v>18.397545418163698</v>
      </c>
      <c r="AB94" s="38">
        <v>45.993863545409248</v>
      </c>
      <c r="AC94" s="38">
        <v>45.993863545409248</v>
      </c>
      <c r="AD94" s="38">
        <v>0</v>
      </c>
      <c r="AE94" s="38"/>
      <c r="AF94" s="38">
        <v>0</v>
      </c>
      <c r="AG94" s="38">
        <v>0</v>
      </c>
      <c r="AH94" s="38">
        <v>0</v>
      </c>
      <c r="AI94" s="38">
        <v>0</v>
      </c>
      <c r="AJ94" s="38">
        <v>125.54070868244808</v>
      </c>
      <c r="AK94" s="38">
        <v>313.85177170612019</v>
      </c>
      <c r="AL94" s="38">
        <v>313.85177170612019</v>
      </c>
      <c r="AM94" s="38">
        <v>0</v>
      </c>
      <c r="AN94" s="38"/>
      <c r="AO94" s="38">
        <v>0</v>
      </c>
      <c r="AP94" s="38">
        <v>0</v>
      </c>
      <c r="AQ94" s="38">
        <v>0</v>
      </c>
      <c r="AR94" s="38">
        <v>0</v>
      </c>
      <c r="AS94" s="38">
        <v>12.543353002429708</v>
      </c>
      <c r="AT94" s="38">
        <v>31.358382506074271</v>
      </c>
      <c r="AU94" s="38">
        <v>31.358382506074271</v>
      </c>
      <c r="AV94" s="38">
        <v>0</v>
      </c>
      <c r="AW94" s="38"/>
      <c r="AX94" s="38">
        <f t="shared" si="126"/>
        <v>0</v>
      </c>
      <c r="AY94" s="38">
        <f t="shared" si="126"/>
        <v>0</v>
      </c>
      <c r="AZ94" s="38">
        <f t="shared" si="126"/>
        <v>0</v>
      </c>
      <c r="BA94" s="38">
        <f t="shared" si="126"/>
        <v>0</v>
      </c>
      <c r="BB94" s="38">
        <f t="shared" si="126"/>
        <v>227.42989226705473</v>
      </c>
      <c r="BC94" s="38">
        <f t="shared" si="136"/>
        <v>568.57473066763669</v>
      </c>
      <c r="BD94" s="38">
        <f t="shared" si="136"/>
        <v>568.57473066763669</v>
      </c>
      <c r="BE94" s="38">
        <f t="shared" si="136"/>
        <v>0</v>
      </c>
      <c r="BG94" s="191">
        <f>SUM(AX94:BE94)</f>
        <v>1364.579353602328</v>
      </c>
      <c r="BH94" s="325">
        <f>BG94-Direct_Capex_Totals!V93</f>
        <v>0</v>
      </c>
      <c r="BJ94" s="38"/>
      <c r="BK94" s="38"/>
      <c r="BL94" s="38"/>
      <c r="BM94" s="38"/>
      <c r="BN94" s="38"/>
    </row>
    <row r="95" spans="2:68" s="46" customFormat="1" x14ac:dyDescent="0.25">
      <c r="B95" s="165" t="s">
        <v>533</v>
      </c>
      <c r="C95" s="17"/>
      <c r="D95" s="17"/>
      <c r="E95" s="17"/>
      <c r="F95" s="677" t="s">
        <v>44</v>
      </c>
      <c r="G95" s="678" t="s">
        <v>19</v>
      </c>
      <c r="H95" s="676" t="str">
        <f>G95&amp;F95</f>
        <v>Distribution system assetsReplacement</v>
      </c>
      <c r="I95" s="365">
        <f>Direct_Capex_Totals!Q94</f>
        <v>0</v>
      </c>
      <c r="J95" s="365">
        <f>Direct_Capex_Totals!R94</f>
        <v>0</v>
      </c>
      <c r="K95" s="365">
        <f>Direct_Capex_Totals!S94</f>
        <v>0</v>
      </c>
      <c r="L95" s="365">
        <f>Direct_Capex_Totals!T94</f>
        <v>228.5471483844355</v>
      </c>
      <c r="M95" s="365">
        <f>Direct_Capex_Totals!U94</f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/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/>
      <c r="AF95" s="38">
        <f>Other_Capex!D27</f>
        <v>0</v>
      </c>
      <c r="AG95" s="38">
        <f>Other_Capex!E27</f>
        <v>0</v>
      </c>
      <c r="AH95" s="38">
        <f>Other_Capex!F27</f>
        <v>0</v>
      </c>
      <c r="AI95" s="38">
        <f>Other_Capex!G27</f>
        <v>0</v>
      </c>
      <c r="AJ95" s="38">
        <f>Other_Capex!H27</f>
        <v>0</v>
      </c>
      <c r="AK95" s="38">
        <f>Other_Capex!I27</f>
        <v>114.27357419221775</v>
      </c>
      <c r="AL95" s="38">
        <f>Other_Capex!J27</f>
        <v>114.27357419221775</v>
      </c>
      <c r="AM95" s="38">
        <f>Other_Capex!K27</f>
        <v>0</v>
      </c>
      <c r="AN95" s="38"/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/>
      <c r="AX95" s="38">
        <f t="shared" si="126"/>
        <v>0</v>
      </c>
      <c r="AY95" s="38">
        <f t="shared" si="126"/>
        <v>0</v>
      </c>
      <c r="AZ95" s="38">
        <f t="shared" si="126"/>
        <v>0</v>
      </c>
      <c r="BA95" s="38">
        <f t="shared" si="126"/>
        <v>0</v>
      </c>
      <c r="BB95" s="38">
        <f t="shared" si="126"/>
        <v>0</v>
      </c>
      <c r="BC95" s="38">
        <f t="shared" si="136"/>
        <v>114.27357419221775</v>
      </c>
      <c r="BD95" s="38">
        <f t="shared" si="136"/>
        <v>114.27357419221775</v>
      </c>
      <c r="BE95" s="38">
        <f t="shared" si="136"/>
        <v>0</v>
      </c>
      <c r="BG95" s="191">
        <f>SUM(AX95:BE95)</f>
        <v>228.5471483844355</v>
      </c>
      <c r="BH95" s="325">
        <f>BG95-Direct_Capex_Totals!V94</f>
        <v>0</v>
      </c>
      <c r="BJ95" s="38">
        <f t="shared" si="131"/>
        <v>0</v>
      </c>
      <c r="BK95" s="38">
        <f t="shared" si="132"/>
        <v>0</v>
      </c>
      <c r="BL95" s="38">
        <f t="shared" si="133"/>
        <v>0</v>
      </c>
      <c r="BM95" s="38">
        <f t="shared" si="134"/>
        <v>0</v>
      </c>
      <c r="BN95" s="38">
        <f t="shared" si="135"/>
        <v>0</v>
      </c>
    </row>
    <row r="96" spans="2:68" x14ac:dyDescent="0.25">
      <c r="B96" s="164" t="s">
        <v>122</v>
      </c>
      <c r="E96" s="8"/>
      <c r="F96" s="676" t="s">
        <v>83</v>
      </c>
      <c r="G96" s="676" t="s">
        <v>77</v>
      </c>
      <c r="H96" s="676" t="str">
        <f t="shared" si="125"/>
        <v>OtherNon-Network</v>
      </c>
      <c r="I96" s="365">
        <f>Direct_Capex_Totals!Q95</f>
        <v>0</v>
      </c>
      <c r="J96" s="365">
        <f>Direct_Capex_Totals!R95</f>
        <v>0</v>
      </c>
      <c r="K96" s="365">
        <f>Direct_Capex_Totals!S95</f>
        <v>0</v>
      </c>
      <c r="L96" s="365">
        <f>Direct_Capex_Totals!T95</f>
        <v>0</v>
      </c>
      <c r="M96" s="365">
        <f>Direct_Capex_Totals!U95</f>
        <v>0</v>
      </c>
      <c r="N96" s="38">
        <f>SUMPRODUCT(Unit_Rates!$E$117:$E$119,Other_Capex!D15:D17)</f>
        <v>0</v>
      </c>
      <c r="O96" s="38">
        <f>SUMPRODUCT(Unit_Rates!$E$117:$E$119,Other_Capex!E15:E17)</f>
        <v>0</v>
      </c>
      <c r="P96" s="38">
        <f>SUMPRODUCT(Unit_Rates!$E$117:$E$119,Other_Capex!F15:F17)</f>
        <v>0</v>
      </c>
      <c r="Q96" s="38">
        <f>SUMPRODUCT(Unit_Rates!$E$117:$E$119,Other_Capex!G15:G17)</f>
        <v>0</v>
      </c>
      <c r="R96" s="38">
        <f>SUMPRODUCT(Unit_Rates!$E$117:$E$119,Other_Capex!H15:H17)</f>
        <v>0</v>
      </c>
      <c r="S96" s="38">
        <f>SUMPRODUCT(Unit_Rates!$E$117:$E$119,Other_Capex!I15:I17)</f>
        <v>0</v>
      </c>
      <c r="T96" s="38">
        <f>SUMPRODUCT(Unit_Rates!$E$117:$E$119,Other_Capex!J15:J17)</f>
        <v>0</v>
      </c>
      <c r="U96" s="38">
        <f>SUMPRODUCT(Unit_Rates!$E$117:$E$119,Other_Capex!K15:K17)</f>
        <v>0</v>
      </c>
      <c r="V96" s="38"/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/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/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6"/>
      <c r="AX96" s="6">
        <f t="shared" si="126"/>
        <v>0</v>
      </c>
      <c r="AY96" s="6">
        <f t="shared" si="126"/>
        <v>0</v>
      </c>
      <c r="AZ96" s="6">
        <f t="shared" si="126"/>
        <v>0</v>
      </c>
      <c r="BA96" s="6">
        <f t="shared" si="126"/>
        <v>0</v>
      </c>
      <c r="BB96" s="6">
        <f t="shared" si="126"/>
        <v>0</v>
      </c>
      <c r="BC96" s="6">
        <f t="shared" si="127"/>
        <v>0</v>
      </c>
      <c r="BD96" s="6">
        <f t="shared" si="128"/>
        <v>0</v>
      </c>
      <c r="BE96" s="6">
        <f t="shared" si="129"/>
        <v>0</v>
      </c>
      <c r="BG96" s="14">
        <f t="shared" si="130"/>
        <v>0</v>
      </c>
      <c r="BH96" s="19">
        <f>BG96-Direct_Capex_Totals!V95</f>
        <v>0</v>
      </c>
      <c r="BJ96" s="38">
        <f t="shared" si="131"/>
        <v>0</v>
      </c>
      <c r="BK96" s="38">
        <f t="shared" si="132"/>
        <v>0</v>
      </c>
      <c r="BL96" s="38">
        <f t="shared" si="133"/>
        <v>0</v>
      </c>
      <c r="BM96" s="38">
        <f t="shared" si="134"/>
        <v>0</v>
      </c>
      <c r="BN96" s="38">
        <f t="shared" si="135"/>
        <v>0</v>
      </c>
    </row>
    <row r="97" spans="2:66" x14ac:dyDescent="0.25">
      <c r="B97" s="165" t="s">
        <v>534</v>
      </c>
      <c r="C97" s="46"/>
      <c r="E97" s="8"/>
      <c r="F97" s="676" t="s">
        <v>42</v>
      </c>
      <c r="G97" s="676" t="s">
        <v>19</v>
      </c>
      <c r="H97" s="676" t="str">
        <f t="shared" si="125"/>
        <v>Distribution system assetsAugmentation</v>
      </c>
      <c r="I97" s="365">
        <f>Direct_Capex_Totals!Q96</f>
        <v>0</v>
      </c>
      <c r="J97" s="365">
        <f>Direct_Capex_Totals!R96</f>
        <v>0</v>
      </c>
      <c r="K97" s="365">
        <f>Direct_Capex_Totals!S96</f>
        <v>0</v>
      </c>
      <c r="L97" s="365">
        <f>Direct_Capex_Totals!T96</f>
        <v>0</v>
      </c>
      <c r="M97" s="365">
        <f>Direct_Capex_Totals!U96</f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/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/>
      <c r="AF97" s="38">
        <f>Other_Capex!D36+Other_Capex!D37</f>
        <v>0</v>
      </c>
      <c r="AG97" s="38">
        <f>Other_Capex!E36+Other_Capex!E37</f>
        <v>0</v>
      </c>
      <c r="AH97" s="38">
        <f>Other_Capex!F36+Other_Capex!F37</f>
        <v>0</v>
      </c>
      <c r="AI97" s="38">
        <f>Other_Capex!G36+Other_Capex!G37</f>
        <v>0</v>
      </c>
      <c r="AJ97" s="38">
        <f>Other_Capex!H36+Other_Capex!H37</f>
        <v>0</v>
      </c>
      <c r="AK97" s="38">
        <f>Other_Capex!I36+Other_Capex!I37</f>
        <v>0</v>
      </c>
      <c r="AL97" s="38">
        <f>Other_Capex!J36+Other_Capex!J37</f>
        <v>0</v>
      </c>
      <c r="AM97" s="38">
        <f>Other_Capex!K36+Other_Capex!K37</f>
        <v>0</v>
      </c>
      <c r="AN97" s="38"/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6"/>
      <c r="AX97" s="6">
        <f t="shared" si="126"/>
        <v>0</v>
      </c>
      <c r="AY97" s="6">
        <f t="shared" si="126"/>
        <v>0</v>
      </c>
      <c r="AZ97" s="6">
        <f t="shared" si="126"/>
        <v>0</v>
      </c>
      <c r="BA97" s="6">
        <f t="shared" si="126"/>
        <v>0</v>
      </c>
      <c r="BB97" s="6">
        <f t="shared" si="126"/>
        <v>0</v>
      </c>
      <c r="BC97" s="6">
        <f t="shared" ref="BC97:BE98" si="137">S97+AB97+AK97+AT97</f>
        <v>0</v>
      </c>
      <c r="BD97" s="6">
        <f t="shared" si="137"/>
        <v>0</v>
      </c>
      <c r="BE97" s="6">
        <f t="shared" si="137"/>
        <v>0</v>
      </c>
      <c r="BG97" s="14">
        <f>SUM(AX97:BE97)</f>
        <v>0</v>
      </c>
      <c r="BH97" s="19">
        <f>BG97-Direct_Capex_Totals!V96</f>
        <v>0</v>
      </c>
      <c r="BI97" s="392"/>
      <c r="BJ97" s="38">
        <f t="shared" si="131"/>
        <v>0</v>
      </c>
      <c r="BK97" s="38">
        <f t="shared" si="132"/>
        <v>0</v>
      </c>
      <c r="BL97" s="38">
        <f t="shared" si="133"/>
        <v>0</v>
      </c>
      <c r="BM97" s="38">
        <f t="shared" si="134"/>
        <v>0</v>
      </c>
      <c r="BN97" s="38">
        <f t="shared" si="135"/>
        <v>0</v>
      </c>
    </row>
    <row r="98" spans="2:66" x14ac:dyDescent="0.25">
      <c r="B98" s="165" t="s">
        <v>530</v>
      </c>
      <c r="C98" s="46"/>
      <c r="E98" s="8"/>
      <c r="F98" s="676" t="s">
        <v>42</v>
      </c>
      <c r="G98" s="676" t="s">
        <v>19</v>
      </c>
      <c r="H98" s="676" t="str">
        <f t="shared" si="125"/>
        <v>Distribution system assetsAugmentation</v>
      </c>
      <c r="I98" s="365">
        <f>Direct_Capex_Totals!Q97</f>
        <v>80.657522123893784</v>
      </c>
      <c r="J98" s="365">
        <f>Direct_Capex_Totals!R97</f>
        <v>52.438371116597615</v>
      </c>
      <c r="K98" s="365">
        <f>Direct_Capex_Totals!S97</f>
        <v>0</v>
      </c>
      <c r="L98" s="365">
        <f>Direct_Capex_Totals!T97</f>
        <v>130.71997793249577</v>
      </c>
      <c r="M98" s="365">
        <f>Direct_Capex_Totals!U97</f>
        <v>0</v>
      </c>
      <c r="N98" s="38">
        <f>Other_Capex!D40</f>
        <v>0</v>
      </c>
      <c r="O98" s="38">
        <f>Other_Capex!E40</f>
        <v>0</v>
      </c>
      <c r="P98" s="38">
        <f>Other_Capex!F40</f>
        <v>0</v>
      </c>
      <c r="Q98" s="38">
        <f>Other_Capex!G40</f>
        <v>12.735398230088494</v>
      </c>
      <c r="R98" s="38">
        <f>Other_Capex!H40</f>
        <v>0</v>
      </c>
      <c r="S98" s="38">
        <f>Other_Capex!I40</f>
        <v>40.753274336283177</v>
      </c>
      <c r="T98" s="38">
        <f>Other_Capex!J40</f>
        <v>27.168849557522122</v>
      </c>
      <c r="U98" s="38">
        <f>Other_Capex!K40</f>
        <v>0</v>
      </c>
      <c r="V98" s="38"/>
      <c r="W98" s="38">
        <f>Other_Capex!D41</f>
        <v>0</v>
      </c>
      <c r="X98" s="38">
        <f>Other_Capex!E41</f>
        <v>0</v>
      </c>
      <c r="Y98" s="38">
        <f>Other_Capex!F41</f>
        <v>0</v>
      </c>
      <c r="Z98" s="38">
        <f>Other_Capex!G41</f>
        <v>8.2797428078838333</v>
      </c>
      <c r="AA98" s="38">
        <f>Other_Capex!H41</f>
        <v>0</v>
      </c>
      <c r="AB98" s="38">
        <f>Other_Capex!I41</f>
        <v>26.495176985228269</v>
      </c>
      <c r="AC98" s="38">
        <f>Other_Capex!J41</f>
        <v>17.663451323485511</v>
      </c>
      <c r="AD98" s="38">
        <f>Other_Capex!K41</f>
        <v>0</v>
      </c>
      <c r="AE98" s="38"/>
      <c r="AF98" s="38">
        <f>Other_Capex!D42</f>
        <v>0</v>
      </c>
      <c r="AG98" s="38">
        <f>Other_Capex!E42</f>
        <v>0</v>
      </c>
      <c r="AH98" s="38">
        <f>Other_Capex!F42</f>
        <v>0</v>
      </c>
      <c r="AI98" s="38">
        <f>Other_Capex!G42</f>
        <v>20.639996515657224</v>
      </c>
      <c r="AJ98" s="38">
        <f>Other_Capex!H42</f>
        <v>0</v>
      </c>
      <c r="AK98" s="38">
        <f>Other_Capex!I42</f>
        <v>66.047988850103124</v>
      </c>
      <c r="AL98" s="38">
        <f>Other_Capex!J42</f>
        <v>44.031992566735418</v>
      </c>
      <c r="AM98" s="38">
        <f>Other_Capex!K42</f>
        <v>0</v>
      </c>
      <c r="AN98" s="38"/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6"/>
      <c r="AX98" s="6">
        <f t="shared" si="126"/>
        <v>0</v>
      </c>
      <c r="AY98" s="6">
        <f t="shared" si="126"/>
        <v>0</v>
      </c>
      <c r="AZ98" s="6">
        <f t="shared" si="126"/>
        <v>0</v>
      </c>
      <c r="BA98" s="6">
        <f t="shared" si="126"/>
        <v>41.655137553629551</v>
      </c>
      <c r="BB98" s="6">
        <f t="shared" si="126"/>
        <v>0</v>
      </c>
      <c r="BC98" s="6">
        <f t="shared" si="137"/>
        <v>133.29644017161456</v>
      </c>
      <c r="BD98" s="6">
        <f t="shared" si="137"/>
        <v>88.864293447743052</v>
      </c>
      <c r="BE98" s="6">
        <f t="shared" si="137"/>
        <v>0</v>
      </c>
      <c r="BG98" s="14">
        <f>SUM(AX98:BE98)</f>
        <v>263.81587117298716</v>
      </c>
      <c r="BH98" s="19">
        <f>BG98-Direct_Capex_Totals!V97</f>
        <v>0</v>
      </c>
      <c r="BI98" s="392"/>
      <c r="BJ98" s="38">
        <f t="shared" si="131"/>
        <v>12.735398230088494</v>
      </c>
      <c r="BK98" s="38">
        <f t="shared" si="132"/>
        <v>8.2797428078838333</v>
      </c>
      <c r="BL98" s="38">
        <f t="shared" si="133"/>
        <v>0</v>
      </c>
      <c r="BM98" s="38">
        <f t="shared" si="134"/>
        <v>20.639996515657224</v>
      </c>
      <c r="BN98" s="38">
        <f t="shared" si="135"/>
        <v>0</v>
      </c>
    </row>
    <row r="99" spans="2:66" x14ac:dyDescent="0.25">
      <c r="B99" s="165" t="s">
        <v>142</v>
      </c>
      <c r="E99" s="8"/>
      <c r="F99" s="676"/>
      <c r="G99" s="676"/>
      <c r="H99" s="676"/>
      <c r="I99" s="365">
        <f>Direct_Capex_Totals!Q98</f>
        <v>0</v>
      </c>
      <c r="J99" s="365">
        <f>Direct_Capex_Totals!R98</f>
        <v>0</v>
      </c>
      <c r="K99" s="365">
        <f>Direct_Capex_Totals!S98</f>
        <v>0</v>
      </c>
      <c r="L99" s="365">
        <f>Direct_Capex_Totals!T98</f>
        <v>0</v>
      </c>
      <c r="M99" s="365">
        <f>Direct_Capex_Totals!U98</f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/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f>Other_Capex!I30</f>
        <v>0</v>
      </c>
      <c r="AC99" s="38">
        <f>Other_Capex!J30</f>
        <v>0</v>
      </c>
      <c r="AD99" s="38">
        <f>Other_Capex!K30</f>
        <v>0</v>
      </c>
      <c r="AE99" s="38"/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f>Other_Capex!I31</f>
        <v>0</v>
      </c>
      <c r="AL99" s="38">
        <f>Other_Capex!J31</f>
        <v>0</v>
      </c>
      <c r="AM99" s="38">
        <f>Other_Capex!K31</f>
        <v>0</v>
      </c>
      <c r="AN99" s="38"/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6"/>
      <c r="AX99" s="6">
        <f t="shared" ref="AX99:BB100" si="138">N99+W99+AF99+AO99</f>
        <v>0</v>
      </c>
      <c r="AY99" s="6">
        <f t="shared" si="138"/>
        <v>0</v>
      </c>
      <c r="AZ99" s="6">
        <f t="shared" si="138"/>
        <v>0</v>
      </c>
      <c r="BA99" s="6">
        <f t="shared" si="138"/>
        <v>0</v>
      </c>
      <c r="BB99" s="6">
        <f t="shared" si="138"/>
        <v>0</v>
      </c>
      <c r="BC99" s="6">
        <f t="shared" si="127"/>
        <v>0</v>
      </c>
      <c r="BD99" s="6">
        <f t="shared" si="128"/>
        <v>0</v>
      </c>
      <c r="BE99" s="6">
        <f t="shared" si="129"/>
        <v>0</v>
      </c>
      <c r="BG99" s="14">
        <f t="shared" si="130"/>
        <v>0</v>
      </c>
      <c r="BH99" s="19"/>
      <c r="BJ99" s="38">
        <f t="shared" si="131"/>
        <v>0</v>
      </c>
      <c r="BK99" s="38">
        <f t="shared" si="132"/>
        <v>0</v>
      </c>
      <c r="BL99" s="38">
        <f t="shared" si="133"/>
        <v>0</v>
      </c>
      <c r="BM99" s="38">
        <f t="shared" si="134"/>
        <v>0</v>
      </c>
      <c r="BN99" s="38">
        <f t="shared" si="135"/>
        <v>0</v>
      </c>
    </row>
    <row r="100" spans="2:66" x14ac:dyDescent="0.25">
      <c r="B100" s="165" t="s">
        <v>656</v>
      </c>
      <c r="E100" s="8"/>
      <c r="F100" s="676"/>
      <c r="G100" s="676"/>
      <c r="H100" s="676"/>
      <c r="I100" s="365">
        <f>Direct_Capex_Totals!Q99</f>
        <v>0</v>
      </c>
      <c r="J100" s="365">
        <f>Direct_Capex_Totals!R99</f>
        <v>134.0015113983718</v>
      </c>
      <c r="K100" s="365">
        <f>Direct_Capex_Totals!S99</f>
        <v>0</v>
      </c>
      <c r="L100" s="365">
        <f>Direct_Capex_Totals!T99</f>
        <v>39.090597345132736</v>
      </c>
      <c r="M100" s="365">
        <f>Direct_Capex_Totals!U99</f>
        <v>0</v>
      </c>
      <c r="N100" s="38"/>
      <c r="O100" s="38"/>
      <c r="P100" s="38"/>
      <c r="Q100" s="38"/>
      <c r="R100" s="38"/>
      <c r="S100" s="38"/>
      <c r="T100" s="38"/>
      <c r="U100" s="38"/>
      <c r="V100" s="38"/>
      <c r="W100" s="38">
        <f>Other_Capex!D30</f>
        <v>0</v>
      </c>
      <c r="X100" s="38">
        <f>Other_Capex!E30</f>
        <v>0</v>
      </c>
      <c r="Y100" s="38">
        <f>Other_Capex!F30</f>
        <v>0</v>
      </c>
      <c r="Z100" s="38">
        <f>Other_Capex!G30</f>
        <v>134.0015113983718</v>
      </c>
      <c r="AA100" s="38">
        <f>Other_Capex!H30</f>
        <v>0</v>
      </c>
      <c r="AB100" s="38">
        <f>Other_Capex!I32</f>
        <v>0</v>
      </c>
      <c r="AC100" s="38">
        <f>Other_Capex!J32</f>
        <v>0</v>
      </c>
      <c r="AD100" s="38">
        <f>Other_Capex!K32</f>
        <v>0</v>
      </c>
      <c r="AE100" s="38"/>
      <c r="AF100" s="38">
        <f>Other_Capex!D31</f>
        <v>0</v>
      </c>
      <c r="AG100" s="38">
        <f>Other_Capex!E31</f>
        <v>0</v>
      </c>
      <c r="AH100" s="38">
        <f>Other_Capex!F31</f>
        <v>0</v>
      </c>
      <c r="AI100" s="38">
        <f>Other_Capex!G31</f>
        <v>39.090597345132736</v>
      </c>
      <c r="AJ100" s="38">
        <f>Other_Capex!H31</f>
        <v>0</v>
      </c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6"/>
      <c r="AX100" s="6">
        <f t="shared" si="138"/>
        <v>0</v>
      </c>
      <c r="AY100" s="6">
        <f t="shared" si="138"/>
        <v>0</v>
      </c>
      <c r="AZ100" s="6">
        <f t="shared" si="138"/>
        <v>0</v>
      </c>
      <c r="BA100" s="6">
        <f t="shared" si="138"/>
        <v>173.09210874350453</v>
      </c>
      <c r="BB100" s="6">
        <f t="shared" si="138"/>
        <v>0</v>
      </c>
      <c r="BC100" s="6">
        <f>S100+AB100+AK100+AT100</f>
        <v>0</v>
      </c>
      <c r="BD100" s="6">
        <f>T100+AC100+AL100+AU100</f>
        <v>0</v>
      </c>
      <c r="BE100" s="6">
        <f>U100+AD100+AM100+AV100</f>
        <v>0</v>
      </c>
      <c r="BG100" s="14">
        <f>SUM(AX100:BE100)</f>
        <v>173.09210874350453</v>
      </c>
      <c r="BH100" s="19">
        <f>BG100-Direct_Capex_Totals!V99</f>
        <v>0</v>
      </c>
      <c r="BJ100" s="38">
        <f t="shared" si="131"/>
        <v>0</v>
      </c>
      <c r="BK100" s="38">
        <f t="shared" si="132"/>
        <v>134.0015113983718</v>
      </c>
      <c r="BL100" s="38">
        <f t="shared" si="133"/>
        <v>0</v>
      </c>
      <c r="BM100" s="38">
        <f t="shared" si="134"/>
        <v>39.090597345132736</v>
      </c>
      <c r="BN100" s="38">
        <f t="shared" si="135"/>
        <v>0</v>
      </c>
    </row>
    <row r="101" spans="2:66" x14ac:dyDescent="0.25">
      <c r="B101" s="164" t="s">
        <v>359</v>
      </c>
      <c r="E101" s="8"/>
      <c r="F101" s="676" t="s">
        <v>83</v>
      </c>
      <c r="G101" s="676" t="s">
        <v>77</v>
      </c>
      <c r="H101" s="676" t="str">
        <f>G101&amp;F101</f>
        <v>OtherNon-Network</v>
      </c>
      <c r="I101" s="365">
        <f>Direct_Capex_Totals!Q100</f>
        <v>0</v>
      </c>
      <c r="J101" s="365">
        <f>Direct_Capex_Totals!R100</f>
        <v>0</v>
      </c>
      <c r="K101" s="365">
        <f>Direct_Capex_Totals!S100</f>
        <v>0</v>
      </c>
      <c r="L101" s="365">
        <f>Direct_Capex_Totals!T100</f>
        <v>0</v>
      </c>
      <c r="M101" s="365">
        <f>Direct_Capex_Totals!U100</f>
        <v>0</v>
      </c>
      <c r="N101" s="38">
        <f>SUMPRODUCT(Unit_Rates!$I76:$I77,Other_Capex!D$20:D$21)</f>
        <v>0</v>
      </c>
      <c r="O101" s="38">
        <f>SUMPRODUCT(Unit_Rates!$I76:$I77,Other_Capex!E$20:E$21)</f>
        <v>0</v>
      </c>
      <c r="P101" s="38">
        <f>SUMPRODUCT(Unit_Rates!$I76:$I77,Other_Capex!F$20:F$21)</f>
        <v>0</v>
      </c>
      <c r="Q101" s="38">
        <f>SUMPRODUCT(Unit_Rates!$I76:$I77,Other_Capex!G$20:G$21)</f>
        <v>0</v>
      </c>
      <c r="R101" s="38">
        <f>SUMPRODUCT(Unit_Rates!$I76:$I77,Other_Capex!H$20:H$21)</f>
        <v>0</v>
      </c>
      <c r="S101" s="38">
        <f>SUMPRODUCT(Unit_Rates!$I76:$I77,Other_Capex!I$20:I$21)</f>
        <v>0</v>
      </c>
      <c r="T101" s="38">
        <f>SUMPRODUCT(Unit_Rates!$I76:$I77,Other_Capex!J$20:J$21)</f>
        <v>0</v>
      </c>
      <c r="U101" s="38">
        <f>SUMPRODUCT(Unit_Rates!$I76:$I77,Other_Capex!K$20:K$21)</f>
        <v>0</v>
      </c>
      <c r="V101" s="38"/>
      <c r="W101" s="38">
        <f>SUMPRODUCT(Unit_Rates!$J76:$J77,Other_Capex!D$20:D$21)+Other_Capex!D45</f>
        <v>0</v>
      </c>
      <c r="X101" s="38">
        <f>SUMPRODUCT(Unit_Rates!$J76:$J77,Other_Capex!E$20:E$21)+Other_Capex!E45</f>
        <v>0</v>
      </c>
      <c r="Y101" s="38">
        <f>SUMPRODUCT(Unit_Rates!$J76:$J77,Other_Capex!F$20:F$21)+Other_Capex!F45</f>
        <v>0</v>
      </c>
      <c r="Z101" s="38">
        <f>SUMPRODUCT(Unit_Rates!$J76:$J77,Other_Capex!G$20:G$21)+Other_Capex!G45</f>
        <v>0</v>
      </c>
      <c r="AA101" s="38">
        <f>SUMPRODUCT(Unit_Rates!$J76:$J77,Other_Capex!H$20:H$21)+Other_Capex!H45</f>
        <v>0</v>
      </c>
      <c r="AB101" s="38">
        <f>SUMPRODUCT(Unit_Rates!$J76:$J77,Other_Capex!I$20:I$21)+Other_Capex!I45</f>
        <v>0</v>
      </c>
      <c r="AC101" s="38">
        <f>SUMPRODUCT(Unit_Rates!$J76:$J77,Other_Capex!J$20:J$21)+Other_Capex!J45</f>
        <v>0</v>
      </c>
      <c r="AD101" s="38">
        <f>SUMPRODUCT(Unit_Rates!$J76:$J77,Other_Capex!K$20:K$21)+Other_Capex!K45</f>
        <v>0</v>
      </c>
      <c r="AE101" s="38"/>
      <c r="AF101" s="38">
        <f>SUMPRODUCT(Unit_Rates!$K76:$K77,Other_Capex!D$20:D$21)+SUMPRODUCT(Unit_Rates!$L76:$L77,Other_Capex!D$20:D$21)</f>
        <v>0</v>
      </c>
      <c r="AG101" s="38">
        <f>SUMPRODUCT(Unit_Rates!$K76:$K77,Other_Capex!E$20:E$21)+SUMPRODUCT(Unit_Rates!$L76:$L77,Other_Capex!E$20:E$21)</f>
        <v>0</v>
      </c>
      <c r="AH101" s="38">
        <f>SUMPRODUCT(Unit_Rates!$K76:$K77,Other_Capex!F$20:F$21)+SUMPRODUCT(Unit_Rates!$L76:$L77,Other_Capex!F$20:F$21)</f>
        <v>0</v>
      </c>
      <c r="AI101" s="38">
        <f>SUMPRODUCT(Unit_Rates!$K76:$K77,Other_Capex!G$20:G$21)+SUMPRODUCT(Unit_Rates!$L76:$L77,Other_Capex!G$20:G$21)</f>
        <v>0</v>
      </c>
      <c r="AJ101" s="38">
        <f>SUMPRODUCT(Unit_Rates!$K76:$K77,Other_Capex!H$20:H$21)+SUMPRODUCT(Unit_Rates!$L76:$L77,Other_Capex!H$20:H$21)</f>
        <v>0</v>
      </c>
      <c r="AK101" s="38">
        <f>SUMPRODUCT(Unit_Rates!$K76:$K77,Other_Capex!I$20:I$21)+SUMPRODUCT(Unit_Rates!$L76:$L77,Other_Capex!I$20:I$21)</f>
        <v>0</v>
      </c>
      <c r="AL101" s="38">
        <f>SUMPRODUCT(Unit_Rates!$K76:$K77,Other_Capex!J$20:J$21)+SUMPRODUCT(Unit_Rates!$L76:$L77,Other_Capex!J$20:J$21)</f>
        <v>0</v>
      </c>
      <c r="AM101" s="38">
        <f>SUMPRODUCT(Unit_Rates!$K76:$K77,Other_Capex!K$20:K$21)+SUMPRODUCT(Unit_Rates!$L76:$L77,Other_Capex!K$20:K$21)</f>
        <v>0</v>
      </c>
      <c r="AN101" s="38"/>
      <c r="AO101" s="38">
        <f>SUMPRODUCT(Unit_Rates!$M76:$M77,Other_Capex!D$20:D$21)</f>
        <v>0</v>
      </c>
      <c r="AP101" s="38">
        <f>SUMPRODUCT(Unit_Rates!$M76:$M77,Other_Capex!E$20:E$21)</f>
        <v>0</v>
      </c>
      <c r="AQ101" s="38">
        <f>SUMPRODUCT(Unit_Rates!$M76:$M77,Other_Capex!F$20:F$21)</f>
        <v>0</v>
      </c>
      <c r="AR101" s="38">
        <f>SUMPRODUCT(Unit_Rates!$M76:$M77,Other_Capex!G$20:G$21)</f>
        <v>0</v>
      </c>
      <c r="AS101" s="38">
        <f>SUMPRODUCT(Unit_Rates!$M76:$M77,Other_Capex!H$20:H$21)</f>
        <v>0</v>
      </c>
      <c r="AT101" s="38">
        <f>SUMPRODUCT(Unit_Rates!$M76:$M77,Other_Capex!I$20:I$21)</f>
        <v>0</v>
      </c>
      <c r="AU101" s="38">
        <f>SUMPRODUCT(Unit_Rates!$M76:$M77,Other_Capex!J$20:J$21)</f>
        <v>0</v>
      </c>
      <c r="AV101" s="38">
        <f>SUMPRODUCT(Unit_Rates!$M76:$M77,Other_Capex!K$20:K$21)</f>
        <v>0</v>
      </c>
      <c r="AW101" s="38"/>
      <c r="AX101" s="6">
        <f>N101+W101+AF101+AO101</f>
        <v>0</v>
      </c>
      <c r="AY101" s="6">
        <f>O101+X101+AG101+AP101</f>
        <v>0</v>
      </c>
      <c r="AZ101" s="6">
        <f>P101+Y101+AH101+AQ101</f>
        <v>0</v>
      </c>
      <c r="BA101" s="6">
        <f>Q101+Z101+AI101+AR101</f>
        <v>0</v>
      </c>
      <c r="BB101" s="6">
        <f>R101+AA101+AJ101+AS101</f>
        <v>0</v>
      </c>
      <c r="BC101" s="6">
        <f t="shared" ref="BC101:BE104" si="139">S101+AB101+AK101+AT101</f>
        <v>0</v>
      </c>
      <c r="BD101" s="6">
        <f t="shared" si="139"/>
        <v>0</v>
      </c>
      <c r="BE101" s="6">
        <f t="shared" si="139"/>
        <v>0</v>
      </c>
      <c r="BG101" s="14">
        <f>SUM(AX101:BE101)</f>
        <v>0</v>
      </c>
      <c r="BH101" s="19">
        <f>BG101-Direct_Capex_Totals!V100</f>
        <v>0</v>
      </c>
      <c r="BJ101" s="38">
        <f t="shared" si="131"/>
        <v>0</v>
      </c>
      <c r="BK101" s="38">
        <f t="shared" si="132"/>
        <v>0</v>
      </c>
      <c r="BL101" s="38">
        <f t="shared" si="133"/>
        <v>0</v>
      </c>
      <c r="BM101" s="38">
        <f t="shared" si="134"/>
        <v>0</v>
      </c>
      <c r="BN101" s="38">
        <f t="shared" si="135"/>
        <v>0</v>
      </c>
    </row>
    <row r="102" spans="2:66" s="46" customFormat="1" x14ac:dyDescent="0.25">
      <c r="B102" s="165" t="s">
        <v>520</v>
      </c>
      <c r="C102" s="17"/>
      <c r="D102" s="17"/>
      <c r="E102" s="17"/>
      <c r="F102" s="676" t="s">
        <v>44</v>
      </c>
      <c r="G102" s="676" t="s">
        <v>19</v>
      </c>
      <c r="H102" s="676" t="str">
        <f>G102&amp;F102</f>
        <v>Distribution system assetsReplacement</v>
      </c>
      <c r="I102" s="365">
        <f>Direct_Capex_Totals!Q101</f>
        <v>0</v>
      </c>
      <c r="J102" s="365">
        <f>Direct_Capex_Totals!R101</f>
        <v>490.79189686924497</v>
      </c>
      <c r="K102" s="365">
        <f>Direct_Capex_Totals!S101</f>
        <v>0</v>
      </c>
      <c r="L102" s="365">
        <f>Direct_Capex_Totals!T101</f>
        <v>0</v>
      </c>
      <c r="M102" s="365">
        <f>Direct_Capex_Totals!U101</f>
        <v>0</v>
      </c>
      <c r="N102" s="38">
        <f>Unit_Rates!$I$85*Other_Capex!D10</f>
        <v>0</v>
      </c>
      <c r="O102" s="38">
        <f>Unit_Rates!$I$85*Other_Capex!E10</f>
        <v>0</v>
      </c>
      <c r="P102" s="38">
        <f>Unit_Rates!$I$85*Other_Capex!F10</f>
        <v>0</v>
      </c>
      <c r="Q102" s="38">
        <f>Unit_Rates!$I$85*Other_Capex!G10</f>
        <v>0</v>
      </c>
      <c r="R102" s="38">
        <f>Unit_Rates!$I$85*Other_Capex!H10</f>
        <v>0</v>
      </c>
      <c r="S102" s="38">
        <f>Unit_Rates!$I$85*Other_Capex!I10</f>
        <v>0</v>
      </c>
      <c r="T102" s="38">
        <f>Unit_Rates!$I$85*Other_Capex!J10</f>
        <v>0</v>
      </c>
      <c r="U102" s="38">
        <f>Unit_Rates!$I$85*Other_Capex!K10</f>
        <v>0</v>
      </c>
      <c r="V102" s="38"/>
      <c r="W102" s="38">
        <f>Unit_Rates!$J$85*Other_Capex!D10</f>
        <v>0</v>
      </c>
      <c r="X102" s="38">
        <f>Unit_Rates!$J$85*Other_Capex!E10</f>
        <v>0</v>
      </c>
      <c r="Y102" s="38">
        <f>Unit_Rates!$J$85*Other_Capex!F10</f>
        <v>0</v>
      </c>
      <c r="Z102" s="38">
        <f>Unit_Rates!$J$85*Other_Capex!G10</f>
        <v>0</v>
      </c>
      <c r="AA102" s="38">
        <f>Unit_Rates!$J$85*Other_Capex!H10</f>
        <v>0</v>
      </c>
      <c r="AB102" s="38">
        <f>Unit_Rates!$J$85*Other_Capex!I10</f>
        <v>245.39594843462248</v>
      </c>
      <c r="AC102" s="38">
        <f>Unit_Rates!$J$85*Other_Capex!J10</f>
        <v>245.39594843462248</v>
      </c>
      <c r="AD102" s="38">
        <f>Unit_Rates!$J$85*Other_Capex!K10</f>
        <v>0</v>
      </c>
      <c r="AE102" s="38"/>
      <c r="AF102" s="38">
        <f>Unit_Rates!$L$85*Other_Capex!D10</f>
        <v>0</v>
      </c>
      <c r="AG102" s="38">
        <f>Unit_Rates!$L$85*Other_Capex!E10</f>
        <v>0</v>
      </c>
      <c r="AH102" s="38">
        <f>Unit_Rates!$L$85*Other_Capex!F10</f>
        <v>0</v>
      </c>
      <c r="AI102" s="38">
        <f>Unit_Rates!$L$85*Other_Capex!G10</f>
        <v>0</v>
      </c>
      <c r="AJ102" s="38">
        <f>Unit_Rates!$L$85*Other_Capex!H10</f>
        <v>0</v>
      </c>
      <c r="AK102" s="38">
        <f>Unit_Rates!$L$85*Other_Capex!I10</f>
        <v>0</v>
      </c>
      <c r="AL102" s="38">
        <f>Unit_Rates!$L$85*Other_Capex!J10</f>
        <v>0</v>
      </c>
      <c r="AM102" s="38">
        <f>Unit_Rates!$L$85*Other_Capex!K10</f>
        <v>0</v>
      </c>
      <c r="AN102" s="38"/>
      <c r="AO102" s="38">
        <f>Unit_Rates!$M$85*Other_Capex!D10</f>
        <v>0</v>
      </c>
      <c r="AP102" s="38">
        <f>Unit_Rates!$M$85*Other_Capex!E10</f>
        <v>0</v>
      </c>
      <c r="AQ102" s="38">
        <f>Unit_Rates!$M$85*Other_Capex!F10</f>
        <v>0</v>
      </c>
      <c r="AR102" s="38">
        <f>Unit_Rates!$M$85*Other_Capex!G10</f>
        <v>0</v>
      </c>
      <c r="AS102" s="38">
        <f>Unit_Rates!$M$85*Other_Capex!H10</f>
        <v>0</v>
      </c>
      <c r="AT102" s="38">
        <f>Unit_Rates!$M$85*Other_Capex!I10</f>
        <v>0</v>
      </c>
      <c r="AU102" s="38">
        <f>Unit_Rates!$M$85*Other_Capex!J10</f>
        <v>0</v>
      </c>
      <c r="AV102" s="38">
        <f>Unit_Rates!$M$85*Other_Capex!K10</f>
        <v>0</v>
      </c>
      <c r="AW102" s="38"/>
      <c r="AX102" s="38">
        <f t="shared" ref="AX102:BB104" si="140">N102+W102+AF102+AO102</f>
        <v>0</v>
      </c>
      <c r="AY102" s="38">
        <f t="shared" si="140"/>
        <v>0</v>
      </c>
      <c r="AZ102" s="38">
        <f t="shared" si="140"/>
        <v>0</v>
      </c>
      <c r="BA102" s="38">
        <f t="shared" si="140"/>
        <v>0</v>
      </c>
      <c r="BB102" s="38">
        <f t="shared" si="140"/>
        <v>0</v>
      </c>
      <c r="BC102" s="38">
        <f t="shared" si="139"/>
        <v>245.39594843462248</v>
      </c>
      <c r="BD102" s="38">
        <f t="shared" si="139"/>
        <v>245.39594843462248</v>
      </c>
      <c r="BE102" s="38">
        <f t="shared" si="139"/>
        <v>0</v>
      </c>
      <c r="BG102" s="191">
        <f>SUM(AX102:BE102)</f>
        <v>490.79189686924497</v>
      </c>
      <c r="BH102" s="19">
        <f>BG102-Direct_Capex_Totals!V101</f>
        <v>0</v>
      </c>
      <c r="BJ102" s="38">
        <f t="shared" si="131"/>
        <v>0</v>
      </c>
      <c r="BK102" s="38">
        <f t="shared" si="132"/>
        <v>0</v>
      </c>
      <c r="BL102" s="38">
        <f t="shared" si="133"/>
        <v>0</v>
      </c>
      <c r="BM102" s="38">
        <f t="shared" si="134"/>
        <v>0</v>
      </c>
      <c r="BN102" s="38">
        <f t="shared" si="135"/>
        <v>0</v>
      </c>
    </row>
    <row r="103" spans="2:66" s="46" customFormat="1" x14ac:dyDescent="0.25">
      <c r="B103" s="165" t="s">
        <v>521</v>
      </c>
      <c r="C103" s="17"/>
      <c r="D103" s="17"/>
      <c r="E103" s="17"/>
      <c r="F103" s="676" t="s">
        <v>44</v>
      </c>
      <c r="G103" s="676" t="s">
        <v>19</v>
      </c>
      <c r="H103" s="676" t="str">
        <f>G103&amp;F103</f>
        <v>Distribution system assetsReplacement</v>
      </c>
      <c r="I103" s="365">
        <f>Direct_Capex_Totals!Q102</f>
        <v>245.39594843462248</v>
      </c>
      <c r="J103" s="365">
        <f>Direct_Capex_Totals!R102</f>
        <v>0</v>
      </c>
      <c r="K103" s="365">
        <f>Direct_Capex_Totals!S102</f>
        <v>0</v>
      </c>
      <c r="L103" s="365">
        <f>Direct_Capex_Totals!T102</f>
        <v>797.53683241252304</v>
      </c>
      <c r="M103" s="365">
        <f>Direct_Capex_Totals!U102</f>
        <v>0</v>
      </c>
      <c r="N103" s="38">
        <f>Unit_Rates!$I$86*Other_Capex!D11</f>
        <v>0</v>
      </c>
      <c r="O103" s="38">
        <f>Unit_Rates!$I$86*Other_Capex!E11</f>
        <v>0</v>
      </c>
      <c r="P103" s="38">
        <f>Unit_Rates!$I$86*Other_Capex!F11</f>
        <v>0</v>
      </c>
      <c r="Q103" s="38">
        <f>Unit_Rates!$I$86*Other_Capex!G11</f>
        <v>0</v>
      </c>
      <c r="R103" s="38">
        <f>Unit_Rates!$I$86*Other_Capex!H11</f>
        <v>0</v>
      </c>
      <c r="S103" s="38">
        <f>Unit_Rates!$I$86*Other_Capex!I11</f>
        <v>122.69797421731124</v>
      </c>
      <c r="T103" s="38">
        <f>Unit_Rates!$I$86*Other_Capex!J11</f>
        <v>122.69797421731124</v>
      </c>
      <c r="U103" s="38">
        <f>Unit_Rates!$I$86*Other_Capex!K11</f>
        <v>0</v>
      </c>
      <c r="V103" s="38"/>
      <c r="W103" s="38">
        <f>Unit_Rates!$J$86*Other_Capex!D11</f>
        <v>0</v>
      </c>
      <c r="X103" s="38">
        <f>Unit_Rates!$J$86*Other_Capex!E11</f>
        <v>0</v>
      </c>
      <c r="Y103" s="38">
        <f>Unit_Rates!$J$86*Other_Capex!F11</f>
        <v>0</v>
      </c>
      <c r="Z103" s="38">
        <f>Unit_Rates!$J$86*Other_Capex!G11</f>
        <v>0</v>
      </c>
      <c r="AA103" s="38">
        <f>Unit_Rates!$J$86*Other_Capex!H11</f>
        <v>0</v>
      </c>
      <c r="AB103" s="38">
        <f>Unit_Rates!$J$86*Other_Capex!I11</f>
        <v>0</v>
      </c>
      <c r="AC103" s="38">
        <f>Unit_Rates!$J$86*Other_Capex!J11</f>
        <v>0</v>
      </c>
      <c r="AD103" s="38">
        <f>Unit_Rates!$J$86*Other_Capex!K11</f>
        <v>0</v>
      </c>
      <c r="AE103" s="38"/>
      <c r="AF103" s="38">
        <f>Unit_Rates!$L$86*Other_Capex!D11</f>
        <v>0</v>
      </c>
      <c r="AG103" s="38">
        <f>Unit_Rates!$L$86*Other_Capex!E11</f>
        <v>0</v>
      </c>
      <c r="AH103" s="38">
        <f>Unit_Rates!$L$86*Other_Capex!F11</f>
        <v>0</v>
      </c>
      <c r="AI103" s="38">
        <f>Unit_Rates!$L$86*Other_Capex!G11</f>
        <v>0</v>
      </c>
      <c r="AJ103" s="38">
        <f>Unit_Rates!$L$86*Other_Capex!H11</f>
        <v>0</v>
      </c>
      <c r="AK103" s="38">
        <f>Unit_Rates!$L$86*Other_Capex!I11</f>
        <v>398.76841620626152</v>
      </c>
      <c r="AL103" s="38">
        <f>Unit_Rates!$L$86*Other_Capex!J11</f>
        <v>398.76841620626152</v>
      </c>
      <c r="AM103" s="38">
        <f>Unit_Rates!$L$86*Other_Capex!K11</f>
        <v>0</v>
      </c>
      <c r="AN103" s="38"/>
      <c r="AO103" s="38">
        <f>Unit_Rates!$M$86*Other_Capex!D11</f>
        <v>0</v>
      </c>
      <c r="AP103" s="38">
        <f>Unit_Rates!$M$86*Other_Capex!E11</f>
        <v>0</v>
      </c>
      <c r="AQ103" s="38">
        <f>Unit_Rates!$M$86*Other_Capex!F11</f>
        <v>0</v>
      </c>
      <c r="AR103" s="38">
        <f>Unit_Rates!$M$86*Other_Capex!G11</f>
        <v>0</v>
      </c>
      <c r="AS103" s="38">
        <f>Unit_Rates!$M$86*Other_Capex!H11</f>
        <v>0</v>
      </c>
      <c r="AT103" s="38">
        <f>Unit_Rates!$M$86*Other_Capex!I11</f>
        <v>0</v>
      </c>
      <c r="AU103" s="38">
        <f>Unit_Rates!$M$86*Other_Capex!J11</f>
        <v>0</v>
      </c>
      <c r="AV103" s="38">
        <f>Unit_Rates!$M$86*Other_Capex!K11</f>
        <v>0</v>
      </c>
      <c r="AW103" s="38"/>
      <c r="AX103" s="38">
        <f t="shared" si="140"/>
        <v>0</v>
      </c>
      <c r="AY103" s="38">
        <f t="shared" si="140"/>
        <v>0</v>
      </c>
      <c r="AZ103" s="38">
        <f t="shared" si="140"/>
        <v>0</v>
      </c>
      <c r="BA103" s="38">
        <f t="shared" si="140"/>
        <v>0</v>
      </c>
      <c r="BB103" s="38">
        <f t="shared" si="140"/>
        <v>0</v>
      </c>
      <c r="BC103" s="38">
        <f t="shared" si="139"/>
        <v>521.46639042357276</v>
      </c>
      <c r="BD103" s="38">
        <f t="shared" si="139"/>
        <v>521.46639042357276</v>
      </c>
      <c r="BE103" s="38">
        <f t="shared" si="139"/>
        <v>0</v>
      </c>
      <c r="BG103" s="191">
        <f>SUM(AX103:BE103)</f>
        <v>1042.9327808471455</v>
      </c>
      <c r="BH103" s="19">
        <f>BG103-Direct_Capex_Totals!V102</f>
        <v>0</v>
      </c>
      <c r="BJ103" s="38">
        <f t="shared" si="131"/>
        <v>0</v>
      </c>
      <c r="BK103" s="38">
        <f t="shared" si="132"/>
        <v>0</v>
      </c>
      <c r="BL103" s="38">
        <f t="shared" si="133"/>
        <v>0</v>
      </c>
      <c r="BM103" s="38">
        <f t="shared" si="134"/>
        <v>0</v>
      </c>
      <c r="BN103" s="38">
        <f t="shared" si="135"/>
        <v>0</v>
      </c>
    </row>
    <row r="104" spans="2:66" s="46" customFormat="1" x14ac:dyDescent="0.25">
      <c r="B104" s="165" t="s">
        <v>522</v>
      </c>
      <c r="C104" s="17"/>
      <c r="D104" s="17"/>
      <c r="E104" s="17"/>
      <c r="F104" s="676" t="s">
        <v>44</v>
      </c>
      <c r="G104" s="676" t="s">
        <v>19</v>
      </c>
      <c r="H104" s="676" t="str">
        <f>G104&amp;F104</f>
        <v>Distribution system assetsReplacement</v>
      </c>
      <c r="I104" s="365">
        <f>Direct_Capex_Totals!Q103</f>
        <v>235.84070796460173</v>
      </c>
      <c r="J104" s="365">
        <f>Direct_Capex_Totals!R103</f>
        <v>0</v>
      </c>
      <c r="K104" s="365">
        <f>Direct_Capex_Totals!S103</f>
        <v>0</v>
      </c>
      <c r="L104" s="365">
        <f>Direct_Capex_Totals!T103</f>
        <v>2293.3329461841363</v>
      </c>
      <c r="M104" s="365">
        <f>Direct_Capex_Totals!U103</f>
        <v>0</v>
      </c>
      <c r="N104" s="38">
        <f>Unit_Rates!$I$87*Other_Capex!D12</f>
        <v>0</v>
      </c>
      <c r="O104" s="38">
        <f>Unit_Rates!$I$87*Other_Capex!E12</f>
        <v>0</v>
      </c>
      <c r="P104" s="38">
        <f>Unit_Rates!$I$87*Other_Capex!F12</f>
        <v>0</v>
      </c>
      <c r="Q104" s="38">
        <f>Unit_Rates!$I$87*Other_Capex!G12</f>
        <v>0</v>
      </c>
      <c r="R104" s="38">
        <f>Unit_Rates!$I$87*Other_Capex!H12</f>
        <v>0</v>
      </c>
      <c r="S104" s="38">
        <f>Unit_Rates!$I$87*Other_Capex!I12</f>
        <v>117.92035398230087</v>
      </c>
      <c r="T104" s="38">
        <f>Unit_Rates!$I$87*Other_Capex!J12</f>
        <v>117.92035398230087</v>
      </c>
      <c r="U104" s="38">
        <f>Unit_Rates!$I$87*Other_Capex!K12</f>
        <v>0</v>
      </c>
      <c r="V104" s="38"/>
      <c r="W104" s="38">
        <f>Unit_Rates!$J$87*Other_Capex!D12</f>
        <v>0</v>
      </c>
      <c r="X104" s="38">
        <f>Unit_Rates!$J$87*Other_Capex!E12</f>
        <v>0</v>
      </c>
      <c r="Y104" s="38">
        <f>Unit_Rates!$J$87*Other_Capex!F12</f>
        <v>0</v>
      </c>
      <c r="Z104" s="38">
        <f>Unit_Rates!$J$87*Other_Capex!G12</f>
        <v>0</v>
      </c>
      <c r="AA104" s="38">
        <f>Unit_Rates!$J$87*Other_Capex!H12</f>
        <v>0</v>
      </c>
      <c r="AB104" s="38">
        <f>Unit_Rates!$J$87*Other_Capex!I12</f>
        <v>0</v>
      </c>
      <c r="AC104" s="38">
        <f>Unit_Rates!$J$87*Other_Capex!J12</f>
        <v>0</v>
      </c>
      <c r="AD104" s="38">
        <f>Unit_Rates!$J$87*Other_Capex!K12</f>
        <v>0</v>
      </c>
      <c r="AE104" s="38"/>
      <c r="AF104" s="38">
        <f>Unit_Rates!$L$87*Other_Capex!D12</f>
        <v>0</v>
      </c>
      <c r="AG104" s="38">
        <f>Unit_Rates!$L$87*Other_Capex!E12</f>
        <v>0</v>
      </c>
      <c r="AH104" s="38">
        <f>Unit_Rates!$L$87*Other_Capex!F12</f>
        <v>0</v>
      </c>
      <c r="AI104" s="38">
        <f>Unit_Rates!$L$87*Other_Capex!G12</f>
        <v>0</v>
      </c>
      <c r="AJ104" s="38">
        <f>Unit_Rates!$L$87*Other_Capex!H12</f>
        <v>0</v>
      </c>
      <c r="AK104" s="38">
        <f>Unit_Rates!$L$87*Other_Capex!I12</f>
        <v>1146.6664730920681</v>
      </c>
      <c r="AL104" s="38">
        <f>Unit_Rates!$L$87*Other_Capex!J12</f>
        <v>1146.6664730920681</v>
      </c>
      <c r="AM104" s="38">
        <f>Unit_Rates!$L$87*Other_Capex!K12</f>
        <v>0</v>
      </c>
      <c r="AN104" s="38"/>
      <c r="AO104" s="38">
        <f>Unit_Rates!$M$87*Other_Capex!D12</f>
        <v>0</v>
      </c>
      <c r="AP104" s="38">
        <f>Unit_Rates!$M$87*Other_Capex!E12</f>
        <v>0</v>
      </c>
      <c r="AQ104" s="38">
        <f>Unit_Rates!$M$87*Other_Capex!F12</f>
        <v>0</v>
      </c>
      <c r="AR104" s="38">
        <f>Unit_Rates!$M$87*Other_Capex!G12</f>
        <v>0</v>
      </c>
      <c r="AS104" s="38">
        <f>Unit_Rates!$M$87*Other_Capex!H12</f>
        <v>0</v>
      </c>
      <c r="AT104" s="38">
        <f>Unit_Rates!$M$87*Other_Capex!I12</f>
        <v>0</v>
      </c>
      <c r="AU104" s="38">
        <f>Unit_Rates!$M$87*Other_Capex!J12</f>
        <v>0</v>
      </c>
      <c r="AV104" s="38">
        <f>Unit_Rates!$M$87*Other_Capex!K12</f>
        <v>0</v>
      </c>
      <c r="AW104" s="38"/>
      <c r="AX104" s="38">
        <f t="shared" si="140"/>
        <v>0</v>
      </c>
      <c r="AY104" s="38">
        <f t="shared" si="140"/>
        <v>0</v>
      </c>
      <c r="AZ104" s="38">
        <f t="shared" si="140"/>
        <v>0</v>
      </c>
      <c r="BA104" s="38">
        <f t="shared" si="140"/>
        <v>0</v>
      </c>
      <c r="BB104" s="38">
        <f t="shared" si="140"/>
        <v>0</v>
      </c>
      <c r="BC104" s="38">
        <f t="shared" si="139"/>
        <v>1264.586827074369</v>
      </c>
      <c r="BD104" s="38">
        <f t="shared" si="139"/>
        <v>1264.586827074369</v>
      </c>
      <c r="BE104" s="38">
        <f t="shared" si="139"/>
        <v>0</v>
      </c>
      <c r="BG104" s="191">
        <f>SUM(AX104:BE104)</f>
        <v>2529.173654148738</v>
      </c>
      <c r="BH104" s="19">
        <f>BG104-Direct_Capex_Totals!V103</f>
        <v>0</v>
      </c>
      <c r="BJ104" s="38">
        <f t="shared" si="131"/>
        <v>0</v>
      </c>
      <c r="BK104" s="38">
        <f t="shared" si="132"/>
        <v>0</v>
      </c>
      <c r="BL104" s="38">
        <f t="shared" si="133"/>
        <v>0</v>
      </c>
      <c r="BM104" s="38">
        <f t="shared" si="134"/>
        <v>0</v>
      </c>
      <c r="BN104" s="38">
        <f t="shared" si="135"/>
        <v>0</v>
      </c>
    </row>
    <row r="105" spans="2:66" x14ac:dyDescent="0.25">
      <c r="E105" s="8"/>
      <c r="F105" s="677"/>
      <c r="G105" s="677"/>
      <c r="H105" s="677"/>
      <c r="I105" s="8"/>
      <c r="J105" s="8"/>
      <c r="K105" s="8"/>
      <c r="L105" s="8"/>
      <c r="M105" s="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G105" s="14"/>
      <c r="BH105" s="19"/>
    </row>
    <row r="106" spans="2:66" x14ac:dyDescent="0.25">
      <c r="B106" s="25" t="s">
        <v>5</v>
      </c>
      <c r="E106" s="8"/>
      <c r="F106" s="677"/>
      <c r="G106" s="677"/>
      <c r="H106" s="677"/>
      <c r="I106" s="8"/>
      <c r="J106" s="8"/>
      <c r="K106" s="8"/>
      <c r="L106" s="8"/>
      <c r="M106" s="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2:66" x14ac:dyDescent="0.25">
      <c r="B107" s="164" t="str">
        <f>STN_1</f>
        <v>BN</v>
      </c>
      <c r="E107" s="8"/>
      <c r="F107" s="677"/>
      <c r="G107" s="677"/>
      <c r="H107" s="677"/>
      <c r="I107" s="8"/>
      <c r="J107" s="8"/>
      <c r="K107" s="8"/>
      <c r="L107" s="8"/>
      <c r="M107" s="8"/>
      <c r="N107" s="6">
        <f t="shared" ref="N107:U112" si="141">SUMIF($B$7:$B$88,$B107,N$7:N$88)</f>
        <v>0</v>
      </c>
      <c r="O107" s="6">
        <f t="shared" si="141"/>
        <v>0</v>
      </c>
      <c r="P107" s="6">
        <f t="shared" si="141"/>
        <v>0</v>
      </c>
      <c r="Q107" s="6">
        <f t="shared" si="141"/>
        <v>0</v>
      </c>
      <c r="R107" s="6">
        <f t="shared" si="141"/>
        <v>3466.327352329346</v>
      </c>
      <c r="S107" s="6">
        <f t="shared" si="141"/>
        <v>2345.495278907576</v>
      </c>
      <c r="T107" s="6">
        <f t="shared" si="141"/>
        <v>426.45368707410472</v>
      </c>
      <c r="U107" s="6">
        <f t="shared" si="141"/>
        <v>0</v>
      </c>
      <c r="V107" s="6"/>
      <c r="W107" s="6">
        <f t="shared" ref="W107:AD112" si="142">SUMIF($B$7:$B$88,$B107,W$7:W$88)</f>
        <v>0</v>
      </c>
      <c r="X107" s="6">
        <f t="shared" si="142"/>
        <v>0</v>
      </c>
      <c r="Y107" s="6">
        <f t="shared" si="142"/>
        <v>0</v>
      </c>
      <c r="Z107" s="6">
        <f t="shared" si="142"/>
        <v>172.86526342033389</v>
      </c>
      <c r="AA107" s="6">
        <f t="shared" si="142"/>
        <v>577.84004651938233</v>
      </c>
      <c r="AB107" s="6">
        <f t="shared" si="142"/>
        <v>696.32855903614336</v>
      </c>
      <c r="AC107" s="6">
        <f t="shared" si="142"/>
        <v>347.44571662568018</v>
      </c>
      <c r="AD107" s="6">
        <f t="shared" si="142"/>
        <v>0</v>
      </c>
      <c r="AE107" s="6"/>
      <c r="AF107" s="6">
        <f t="shared" ref="AF107:AM112" si="143">SUMIF($B$7:$B$88,$B107,AF$7:AF$88)</f>
        <v>0</v>
      </c>
      <c r="AG107" s="6">
        <f t="shared" si="143"/>
        <v>0</v>
      </c>
      <c r="AH107" s="6">
        <f t="shared" si="143"/>
        <v>0</v>
      </c>
      <c r="AI107" s="6">
        <f t="shared" si="143"/>
        <v>349.15080791760096</v>
      </c>
      <c r="AJ107" s="6">
        <f t="shared" si="143"/>
        <v>3564.1674303633367</v>
      </c>
      <c r="AK107" s="6">
        <f t="shared" si="143"/>
        <v>4731.6363346898934</v>
      </c>
      <c r="AL107" s="6">
        <f t="shared" si="143"/>
        <v>2476.0081508634898</v>
      </c>
      <c r="AM107" s="6">
        <f t="shared" si="143"/>
        <v>0</v>
      </c>
      <c r="AN107" s="6"/>
      <c r="AO107" s="6">
        <f t="shared" ref="AO107:AV112" si="144">SUMIF($B$7:$B$88,$B107,AO$7:AO$88)</f>
        <v>0</v>
      </c>
      <c r="AP107" s="6">
        <f t="shared" si="144"/>
        <v>0</v>
      </c>
      <c r="AQ107" s="6">
        <f t="shared" si="144"/>
        <v>0</v>
      </c>
      <c r="AR107" s="6">
        <f t="shared" si="144"/>
        <v>0</v>
      </c>
      <c r="AS107" s="6">
        <f t="shared" si="144"/>
        <v>89.146194934897636</v>
      </c>
      <c r="AT107" s="6">
        <f t="shared" si="144"/>
        <v>186.04144675612491</v>
      </c>
      <c r="AU107" s="6">
        <f t="shared" si="144"/>
        <v>118.53604581442424</v>
      </c>
      <c r="AV107" s="6">
        <f t="shared" si="144"/>
        <v>0</v>
      </c>
      <c r="AW107" s="6"/>
      <c r="AX107" s="6">
        <f t="shared" ref="AX107:AX112" si="145">N107+W107+AF107+AO107</f>
        <v>0</v>
      </c>
      <c r="AY107" s="6">
        <f t="shared" ref="AY107:AY112" si="146">O107+X107+AG107+AP107</f>
        <v>0</v>
      </c>
      <c r="AZ107" s="6">
        <f t="shared" ref="AZ107:AZ112" si="147">P107+Y107+AH107+AQ107</f>
        <v>0</v>
      </c>
      <c r="BA107" s="6">
        <f t="shared" ref="BA107:BA112" si="148">Q107+Z107+AI107+AR107</f>
        <v>522.01607133793482</v>
      </c>
      <c r="BB107" s="6">
        <f t="shared" ref="BB107:BB112" si="149">R107+AA107+AJ107+AS107</f>
        <v>7697.4810241469622</v>
      </c>
      <c r="BC107" s="6">
        <f t="shared" ref="BC107:BC112" si="150">S107+AB107+AK107+AT107</f>
        <v>7959.5016193897382</v>
      </c>
      <c r="BD107" s="6">
        <f t="shared" ref="BD107:BD112" si="151">T107+AC107+AL107+AU107</f>
        <v>3368.4436003776991</v>
      </c>
      <c r="BE107" s="6">
        <f t="shared" ref="BE107:BE112" si="152">U107+AD107+AM107+AV107</f>
        <v>0</v>
      </c>
      <c r="BG107" s="14">
        <f>SUM(AX107:BE107)</f>
        <v>19547.442315252338</v>
      </c>
      <c r="BH107" s="19">
        <f>BG107-Direct_Capex_Totals!V109</f>
        <v>0</v>
      </c>
    </row>
    <row r="108" spans="2:66" x14ac:dyDescent="0.25">
      <c r="B108" s="164" t="str">
        <f>STN_2</f>
        <v>KLO</v>
      </c>
      <c r="E108" s="8"/>
      <c r="F108" s="677"/>
      <c r="G108" s="677"/>
      <c r="H108" s="677"/>
      <c r="I108" s="8"/>
      <c r="J108" s="8"/>
      <c r="K108" s="8"/>
      <c r="L108" s="8"/>
      <c r="M108" s="8"/>
      <c r="N108" s="6">
        <f t="shared" si="141"/>
        <v>0</v>
      </c>
      <c r="O108" s="6">
        <f t="shared" si="141"/>
        <v>0</v>
      </c>
      <c r="P108" s="6">
        <f t="shared" si="141"/>
        <v>0</v>
      </c>
      <c r="Q108" s="6">
        <f t="shared" si="141"/>
        <v>0</v>
      </c>
      <c r="R108" s="6">
        <f t="shared" si="141"/>
        <v>624.95559099120942</v>
      </c>
      <c r="S108" s="6">
        <f t="shared" si="141"/>
        <v>2476.8821367587143</v>
      </c>
      <c r="T108" s="6">
        <f t="shared" si="141"/>
        <v>3027.3003893717623</v>
      </c>
      <c r="U108" s="6">
        <f t="shared" si="141"/>
        <v>0</v>
      </c>
      <c r="V108" s="6"/>
      <c r="W108" s="6">
        <f t="shared" si="142"/>
        <v>0</v>
      </c>
      <c r="X108" s="6">
        <f t="shared" si="142"/>
        <v>0</v>
      </c>
      <c r="Y108" s="6">
        <f t="shared" si="142"/>
        <v>0</v>
      </c>
      <c r="Z108" s="6">
        <f t="shared" si="142"/>
        <v>90.504434088864258</v>
      </c>
      <c r="AA108" s="6">
        <f t="shared" si="142"/>
        <v>166.82912178976511</v>
      </c>
      <c r="AB108" s="6">
        <f t="shared" si="142"/>
        <v>641.39740661805047</v>
      </c>
      <c r="AC108" s="6">
        <f t="shared" si="142"/>
        <v>494.83955395049196</v>
      </c>
      <c r="AD108" s="6">
        <f t="shared" si="142"/>
        <v>0</v>
      </c>
      <c r="AE108" s="6"/>
      <c r="AF108" s="6">
        <f t="shared" si="143"/>
        <v>0</v>
      </c>
      <c r="AG108" s="6">
        <f t="shared" si="143"/>
        <v>0</v>
      </c>
      <c r="AH108" s="6">
        <f t="shared" si="143"/>
        <v>0</v>
      </c>
      <c r="AI108" s="6">
        <f t="shared" si="143"/>
        <v>263.84798217574581</v>
      </c>
      <c r="AJ108" s="6">
        <f t="shared" si="143"/>
        <v>2481.9763167577912</v>
      </c>
      <c r="AK108" s="6">
        <f t="shared" si="143"/>
        <v>3927.0952963953414</v>
      </c>
      <c r="AL108" s="6">
        <f t="shared" si="143"/>
        <v>3636.8818103501385</v>
      </c>
      <c r="AM108" s="6">
        <f t="shared" si="143"/>
        <v>0</v>
      </c>
      <c r="AN108" s="6"/>
      <c r="AO108" s="6">
        <f t="shared" si="144"/>
        <v>0</v>
      </c>
      <c r="AP108" s="6">
        <f t="shared" si="144"/>
        <v>0</v>
      </c>
      <c r="AQ108" s="6">
        <f t="shared" si="144"/>
        <v>0</v>
      </c>
      <c r="AR108" s="6">
        <f t="shared" si="144"/>
        <v>0</v>
      </c>
      <c r="AS108" s="6">
        <f t="shared" si="144"/>
        <v>0</v>
      </c>
      <c r="AT108" s="6">
        <f t="shared" si="144"/>
        <v>106.65607130284656</v>
      </c>
      <c r="AU108" s="6">
        <f t="shared" si="144"/>
        <v>96.454513419806517</v>
      </c>
      <c r="AV108" s="6">
        <f t="shared" si="144"/>
        <v>0</v>
      </c>
      <c r="AW108" s="6"/>
      <c r="AX108" s="6">
        <f t="shared" si="145"/>
        <v>0</v>
      </c>
      <c r="AY108" s="6">
        <f t="shared" si="146"/>
        <v>0</v>
      </c>
      <c r="AZ108" s="6">
        <f t="shared" si="147"/>
        <v>0</v>
      </c>
      <c r="BA108" s="6">
        <f t="shared" si="148"/>
        <v>354.35241626461004</v>
      </c>
      <c r="BB108" s="6">
        <f t="shared" si="149"/>
        <v>3273.7610295387658</v>
      </c>
      <c r="BC108" s="6">
        <f t="shared" si="150"/>
        <v>7152.0309110749531</v>
      </c>
      <c r="BD108" s="6">
        <f t="shared" si="151"/>
        <v>7255.4762670921991</v>
      </c>
      <c r="BE108" s="6">
        <f t="shared" si="152"/>
        <v>0</v>
      </c>
      <c r="BG108" s="14">
        <f t="shared" ref="BG108:BG113" si="153">SUM(AX108:BE108)</f>
        <v>18035.620623970528</v>
      </c>
      <c r="BH108" s="19">
        <f>BG108-Direct_Capex_Totals!V110</f>
        <v>0</v>
      </c>
    </row>
    <row r="109" spans="2:66" x14ac:dyDescent="0.25">
      <c r="B109" s="164" t="str">
        <f>STN_3</f>
        <v>LLG</v>
      </c>
      <c r="E109" s="8"/>
      <c r="F109" s="677"/>
      <c r="G109" s="677"/>
      <c r="H109" s="677"/>
      <c r="I109" s="8"/>
      <c r="J109" s="8"/>
      <c r="K109" s="8"/>
      <c r="L109" s="8"/>
      <c r="M109" s="8"/>
      <c r="N109" s="6">
        <f t="shared" si="141"/>
        <v>0</v>
      </c>
      <c r="O109" s="6">
        <f t="shared" si="141"/>
        <v>0</v>
      </c>
      <c r="P109" s="6">
        <f t="shared" si="141"/>
        <v>0</v>
      </c>
      <c r="Q109" s="6">
        <f t="shared" si="141"/>
        <v>0</v>
      </c>
      <c r="R109" s="6">
        <f t="shared" si="141"/>
        <v>1323.8470769449186</v>
      </c>
      <c r="S109" s="6">
        <f t="shared" si="141"/>
        <v>2352.4812452238502</v>
      </c>
      <c r="T109" s="6">
        <f t="shared" si="141"/>
        <v>504.10312397653928</v>
      </c>
      <c r="U109" s="6">
        <f t="shared" si="141"/>
        <v>0</v>
      </c>
      <c r="V109" s="6"/>
      <c r="W109" s="6">
        <f t="shared" si="142"/>
        <v>0</v>
      </c>
      <c r="X109" s="6">
        <f t="shared" si="142"/>
        <v>0</v>
      </c>
      <c r="Y109" s="6">
        <f t="shared" si="142"/>
        <v>0</v>
      </c>
      <c r="Z109" s="6">
        <f t="shared" si="142"/>
        <v>92.1134888837978</v>
      </c>
      <c r="AA109" s="6">
        <f t="shared" si="142"/>
        <v>270.12444109982437</v>
      </c>
      <c r="AB109" s="6">
        <f t="shared" si="142"/>
        <v>754.97443412219718</v>
      </c>
      <c r="AC109" s="6">
        <f t="shared" si="142"/>
        <v>239.04431334197997</v>
      </c>
      <c r="AD109" s="6">
        <f t="shared" si="142"/>
        <v>0</v>
      </c>
      <c r="AE109" s="6"/>
      <c r="AF109" s="6">
        <f t="shared" si="143"/>
        <v>0</v>
      </c>
      <c r="AG109" s="6">
        <f t="shared" si="143"/>
        <v>0</v>
      </c>
      <c r="AH109" s="6">
        <f t="shared" si="143"/>
        <v>0</v>
      </c>
      <c r="AI109" s="6">
        <f t="shared" si="143"/>
        <v>265.01425379479423</v>
      </c>
      <c r="AJ109" s="6">
        <f t="shared" si="143"/>
        <v>1443.7215227005593</v>
      </c>
      <c r="AK109" s="6">
        <f t="shared" si="143"/>
        <v>3392.3148912036627</v>
      </c>
      <c r="AL109" s="6">
        <f t="shared" si="143"/>
        <v>948.61683313075082</v>
      </c>
      <c r="AM109" s="6">
        <f t="shared" si="143"/>
        <v>0</v>
      </c>
      <c r="AN109" s="6"/>
      <c r="AO109" s="6">
        <f t="shared" si="144"/>
        <v>0</v>
      </c>
      <c r="AP109" s="6">
        <f t="shared" si="144"/>
        <v>0</v>
      </c>
      <c r="AQ109" s="6">
        <f t="shared" si="144"/>
        <v>0</v>
      </c>
      <c r="AR109" s="6">
        <f t="shared" si="144"/>
        <v>0</v>
      </c>
      <c r="AS109" s="6">
        <f t="shared" si="144"/>
        <v>24.447664321543741</v>
      </c>
      <c r="AT109" s="6">
        <f t="shared" si="144"/>
        <v>137.2823312837144</v>
      </c>
      <c r="AU109" s="6">
        <f t="shared" si="144"/>
        <v>52.658628258187946</v>
      </c>
      <c r="AV109" s="6">
        <f t="shared" si="144"/>
        <v>0</v>
      </c>
      <c r="AW109" s="6"/>
      <c r="AX109" s="6">
        <f t="shared" si="145"/>
        <v>0</v>
      </c>
      <c r="AY109" s="6">
        <f t="shared" si="146"/>
        <v>0</v>
      </c>
      <c r="AZ109" s="6">
        <f t="shared" si="147"/>
        <v>0</v>
      </c>
      <c r="BA109" s="6">
        <f t="shared" si="148"/>
        <v>357.12774267859203</v>
      </c>
      <c r="BB109" s="6">
        <f t="shared" si="149"/>
        <v>3062.1407050668458</v>
      </c>
      <c r="BC109" s="6">
        <f t="shared" si="150"/>
        <v>6637.0529018334246</v>
      </c>
      <c r="BD109" s="6">
        <f t="shared" si="151"/>
        <v>1744.422898707458</v>
      </c>
      <c r="BE109" s="6">
        <f t="shared" si="152"/>
        <v>0</v>
      </c>
      <c r="BG109" s="14">
        <f t="shared" si="153"/>
        <v>11800.744248286321</v>
      </c>
      <c r="BH109" s="19">
        <f>BG109-Direct_Capex_Totals!V111</f>
        <v>0</v>
      </c>
    </row>
    <row r="110" spans="2:66" x14ac:dyDescent="0.25">
      <c r="B110" s="164" t="str">
        <f>STN_4</f>
        <v>MSD</v>
      </c>
      <c r="E110" s="8"/>
      <c r="F110" s="677"/>
      <c r="G110" s="677"/>
      <c r="H110" s="677"/>
      <c r="I110" s="8"/>
      <c r="J110" s="8"/>
      <c r="K110" s="8"/>
      <c r="L110" s="8"/>
      <c r="M110" s="8"/>
      <c r="N110" s="6">
        <f t="shared" si="141"/>
        <v>0</v>
      </c>
      <c r="O110" s="6">
        <f t="shared" si="141"/>
        <v>0</v>
      </c>
      <c r="P110" s="6">
        <f t="shared" si="141"/>
        <v>145.69629629629631</v>
      </c>
      <c r="Q110" s="6">
        <f t="shared" si="141"/>
        <v>2284.841398329102</v>
      </c>
      <c r="R110" s="6">
        <f t="shared" si="141"/>
        <v>1533.7622615174623</v>
      </c>
      <c r="S110" s="6">
        <f t="shared" si="141"/>
        <v>0</v>
      </c>
      <c r="T110" s="6">
        <f t="shared" si="141"/>
        <v>0</v>
      </c>
      <c r="U110" s="6">
        <f t="shared" si="141"/>
        <v>0</v>
      </c>
      <c r="V110" s="6"/>
      <c r="W110" s="6">
        <f t="shared" si="142"/>
        <v>0</v>
      </c>
      <c r="X110" s="6">
        <f t="shared" si="142"/>
        <v>0</v>
      </c>
      <c r="Y110" s="6">
        <f t="shared" si="142"/>
        <v>11.65185185185185</v>
      </c>
      <c r="Z110" s="6">
        <f t="shared" si="142"/>
        <v>895.22750517604004</v>
      </c>
      <c r="AA110" s="6">
        <f t="shared" si="142"/>
        <v>510.77428753885033</v>
      </c>
      <c r="AB110" s="6">
        <f t="shared" si="142"/>
        <v>0</v>
      </c>
      <c r="AC110" s="6">
        <f t="shared" si="142"/>
        <v>0</v>
      </c>
      <c r="AD110" s="6">
        <f t="shared" si="142"/>
        <v>0</v>
      </c>
      <c r="AE110" s="6"/>
      <c r="AF110" s="6">
        <f t="shared" si="143"/>
        <v>0</v>
      </c>
      <c r="AG110" s="6">
        <f t="shared" si="143"/>
        <v>0</v>
      </c>
      <c r="AH110" s="6">
        <f t="shared" si="143"/>
        <v>68.948148148148135</v>
      </c>
      <c r="AI110" s="6">
        <f t="shared" si="143"/>
        <v>3706.2939855141244</v>
      </c>
      <c r="AJ110" s="6">
        <f t="shared" si="143"/>
        <v>1956.4877940582387</v>
      </c>
      <c r="AK110" s="6">
        <f t="shared" si="143"/>
        <v>0</v>
      </c>
      <c r="AL110" s="6">
        <f t="shared" si="143"/>
        <v>0</v>
      </c>
      <c r="AM110" s="6">
        <f t="shared" si="143"/>
        <v>0</v>
      </c>
      <c r="AN110" s="6"/>
      <c r="AO110" s="6">
        <f t="shared" si="144"/>
        <v>0</v>
      </c>
      <c r="AP110" s="6">
        <f t="shared" si="144"/>
        <v>0</v>
      </c>
      <c r="AQ110" s="6">
        <f t="shared" si="144"/>
        <v>0</v>
      </c>
      <c r="AR110" s="6">
        <f t="shared" si="144"/>
        <v>129.44926628226759</v>
      </c>
      <c r="AS110" s="6">
        <f t="shared" si="144"/>
        <v>129.44926628226759</v>
      </c>
      <c r="AT110" s="6">
        <f t="shared" si="144"/>
        <v>0</v>
      </c>
      <c r="AU110" s="6">
        <f t="shared" si="144"/>
        <v>0</v>
      </c>
      <c r="AV110" s="6">
        <f t="shared" si="144"/>
        <v>0</v>
      </c>
      <c r="AW110" s="6"/>
      <c r="AX110" s="6">
        <f t="shared" si="145"/>
        <v>0</v>
      </c>
      <c r="AY110" s="6">
        <f t="shared" si="146"/>
        <v>0</v>
      </c>
      <c r="AZ110" s="6">
        <f t="shared" si="147"/>
        <v>226.2962962962963</v>
      </c>
      <c r="BA110" s="6">
        <f t="shared" si="148"/>
        <v>7015.8121553015344</v>
      </c>
      <c r="BB110" s="6">
        <f t="shared" si="149"/>
        <v>4130.4736093968186</v>
      </c>
      <c r="BC110" s="6">
        <f t="shared" si="150"/>
        <v>0</v>
      </c>
      <c r="BD110" s="6">
        <f t="shared" si="151"/>
        <v>0</v>
      </c>
      <c r="BE110" s="6">
        <f t="shared" si="152"/>
        <v>0</v>
      </c>
      <c r="BG110" s="14">
        <f t="shared" si="153"/>
        <v>11372.58206099465</v>
      </c>
      <c r="BH110" s="19">
        <f>BG110-Direct_Capex_Totals!V112</f>
        <v>0</v>
      </c>
    </row>
    <row r="111" spans="2:66" x14ac:dyDescent="0.25">
      <c r="B111" s="164" t="str">
        <f>STN_5</f>
        <v>SLE</v>
      </c>
      <c r="E111" s="8"/>
      <c r="F111" s="677"/>
      <c r="G111" s="677"/>
      <c r="H111" s="677"/>
      <c r="I111" s="8"/>
      <c r="J111" s="8"/>
      <c r="K111" s="8"/>
      <c r="L111" s="8"/>
      <c r="M111" s="8"/>
      <c r="N111" s="6">
        <f t="shared" si="141"/>
        <v>0</v>
      </c>
      <c r="O111" s="6">
        <f t="shared" si="141"/>
        <v>0</v>
      </c>
      <c r="P111" s="6">
        <f t="shared" si="141"/>
        <v>0</v>
      </c>
      <c r="Q111" s="6">
        <f t="shared" si="141"/>
        <v>182.28643631627907</v>
      </c>
      <c r="R111" s="6">
        <f t="shared" si="141"/>
        <v>2597.081419903338</v>
      </c>
      <c r="S111" s="6">
        <f t="shared" si="141"/>
        <v>2447.3542699238897</v>
      </c>
      <c r="T111" s="6">
        <f t="shared" si="141"/>
        <v>638.44024432797119</v>
      </c>
      <c r="U111" s="6">
        <f t="shared" si="141"/>
        <v>0</v>
      </c>
      <c r="V111" s="6"/>
      <c r="W111" s="6">
        <f t="shared" si="142"/>
        <v>0</v>
      </c>
      <c r="X111" s="6">
        <f t="shared" si="142"/>
        <v>0</v>
      </c>
      <c r="Y111" s="6">
        <f t="shared" si="142"/>
        <v>0</v>
      </c>
      <c r="Z111" s="6">
        <f t="shared" si="142"/>
        <v>182.36706107920489</v>
      </c>
      <c r="AA111" s="6">
        <f t="shared" si="142"/>
        <v>522.23708103133902</v>
      </c>
      <c r="AB111" s="6">
        <f t="shared" si="142"/>
        <v>596.82938765016559</v>
      </c>
      <c r="AC111" s="6">
        <f t="shared" si="142"/>
        <v>273.59605896858369</v>
      </c>
      <c r="AD111" s="6">
        <f t="shared" si="142"/>
        <v>0</v>
      </c>
      <c r="AE111" s="6"/>
      <c r="AF111" s="6">
        <f t="shared" si="143"/>
        <v>0</v>
      </c>
      <c r="AG111" s="6">
        <f t="shared" si="143"/>
        <v>0</v>
      </c>
      <c r="AH111" s="6">
        <f t="shared" si="143"/>
        <v>0</v>
      </c>
      <c r="AI111" s="6">
        <f t="shared" si="143"/>
        <v>266.43762319583084</v>
      </c>
      <c r="AJ111" s="6">
        <f t="shared" si="143"/>
        <v>2544.1874611141247</v>
      </c>
      <c r="AK111" s="6">
        <f t="shared" si="143"/>
        <v>3365.8249452078717</v>
      </c>
      <c r="AL111" s="6">
        <f t="shared" si="143"/>
        <v>1991.4392529097713</v>
      </c>
      <c r="AM111" s="6">
        <f t="shared" si="143"/>
        <v>0</v>
      </c>
      <c r="AN111" s="6"/>
      <c r="AO111" s="6">
        <f t="shared" si="144"/>
        <v>0</v>
      </c>
      <c r="AP111" s="6">
        <f t="shared" si="144"/>
        <v>0</v>
      </c>
      <c r="AQ111" s="6">
        <f t="shared" si="144"/>
        <v>0</v>
      </c>
      <c r="AR111" s="6">
        <f t="shared" si="144"/>
        <v>0</v>
      </c>
      <c r="AS111" s="6">
        <f t="shared" si="144"/>
        <v>70.476022829910917</v>
      </c>
      <c r="AT111" s="6">
        <f t="shared" si="144"/>
        <v>129.96042592777783</v>
      </c>
      <c r="AU111" s="6">
        <f t="shared" si="144"/>
        <v>78.019377116348338</v>
      </c>
      <c r="AV111" s="6">
        <f t="shared" si="144"/>
        <v>0</v>
      </c>
      <c r="AW111" s="6"/>
      <c r="AX111" s="6">
        <f t="shared" si="145"/>
        <v>0</v>
      </c>
      <c r="AY111" s="6">
        <f t="shared" si="146"/>
        <v>0</v>
      </c>
      <c r="AZ111" s="6">
        <f t="shared" si="147"/>
        <v>0</v>
      </c>
      <c r="BA111" s="6">
        <f t="shared" si="148"/>
        <v>631.09112059131485</v>
      </c>
      <c r="BB111" s="6">
        <f t="shared" si="149"/>
        <v>5733.9819848787129</v>
      </c>
      <c r="BC111" s="6">
        <f t="shared" si="150"/>
        <v>6539.9690287097046</v>
      </c>
      <c r="BD111" s="6">
        <f t="shared" si="151"/>
        <v>2981.494933322675</v>
      </c>
      <c r="BE111" s="6">
        <f t="shared" si="152"/>
        <v>0</v>
      </c>
      <c r="BG111" s="14">
        <f t="shared" si="153"/>
        <v>15886.53706750241</v>
      </c>
      <c r="BH111" s="19">
        <f>BG111-Direct_Capex_Totals!V113</f>
        <v>0</v>
      </c>
    </row>
    <row r="112" spans="2:66" x14ac:dyDescent="0.25">
      <c r="B112" s="164" t="str">
        <f>STN_9</f>
        <v>KLO2</v>
      </c>
      <c r="E112" s="8"/>
      <c r="F112" s="677"/>
      <c r="G112" s="677"/>
      <c r="H112" s="677"/>
      <c r="I112" s="8"/>
      <c r="J112" s="8"/>
      <c r="K112" s="8"/>
      <c r="L112" s="8"/>
      <c r="M112" s="8"/>
      <c r="N112" s="6">
        <f t="shared" si="141"/>
        <v>0</v>
      </c>
      <c r="O112" s="6">
        <f t="shared" si="141"/>
        <v>0</v>
      </c>
      <c r="P112" s="6">
        <f t="shared" si="141"/>
        <v>0</v>
      </c>
      <c r="Q112" s="6">
        <f t="shared" si="141"/>
        <v>0</v>
      </c>
      <c r="R112" s="6">
        <f t="shared" si="141"/>
        <v>3018.1628290093654</v>
      </c>
      <c r="S112" s="6">
        <f t="shared" si="141"/>
        <v>862.33223685981886</v>
      </c>
      <c r="T112" s="6">
        <f t="shared" si="141"/>
        <v>431.16611842990943</v>
      </c>
      <c r="U112" s="6">
        <f t="shared" si="141"/>
        <v>0</v>
      </c>
      <c r="V112" s="6"/>
      <c r="W112" s="6">
        <f t="shared" si="142"/>
        <v>0</v>
      </c>
      <c r="X112" s="6">
        <f t="shared" si="142"/>
        <v>0</v>
      </c>
      <c r="Y112" s="6">
        <f t="shared" si="142"/>
        <v>0</v>
      </c>
      <c r="Z112" s="6">
        <f t="shared" si="142"/>
        <v>0</v>
      </c>
      <c r="AA112" s="6">
        <f t="shared" si="142"/>
        <v>210.89619963438292</v>
      </c>
      <c r="AB112" s="6">
        <f t="shared" si="142"/>
        <v>1054.4809981719145</v>
      </c>
      <c r="AC112" s="6">
        <f t="shared" si="142"/>
        <v>843.5847985375317</v>
      </c>
      <c r="AD112" s="6">
        <f t="shared" si="142"/>
        <v>0</v>
      </c>
      <c r="AE112" s="6"/>
      <c r="AF112" s="6">
        <f t="shared" si="143"/>
        <v>0</v>
      </c>
      <c r="AG112" s="6">
        <f t="shared" si="143"/>
        <v>0</v>
      </c>
      <c r="AH112" s="6">
        <f t="shared" si="143"/>
        <v>0</v>
      </c>
      <c r="AI112" s="6">
        <f t="shared" si="143"/>
        <v>0</v>
      </c>
      <c r="AJ112" s="6">
        <f t="shared" si="143"/>
        <v>3018.7610619469019</v>
      </c>
      <c r="AK112" s="6">
        <f t="shared" si="143"/>
        <v>2855.8557402799424</v>
      </c>
      <c r="AL112" s="6">
        <f t="shared" si="143"/>
        <v>2855.8557402799424</v>
      </c>
      <c r="AM112" s="6">
        <f t="shared" si="143"/>
        <v>0</v>
      </c>
      <c r="AN112" s="6"/>
      <c r="AO112" s="6">
        <f t="shared" si="144"/>
        <v>0</v>
      </c>
      <c r="AP112" s="6">
        <f t="shared" si="144"/>
        <v>0</v>
      </c>
      <c r="AQ112" s="6">
        <f t="shared" si="144"/>
        <v>0</v>
      </c>
      <c r="AR112" s="6">
        <f t="shared" si="144"/>
        <v>0</v>
      </c>
      <c r="AS112" s="6">
        <f t="shared" si="144"/>
        <v>0</v>
      </c>
      <c r="AT112" s="6">
        <f t="shared" si="144"/>
        <v>806.87022774802313</v>
      </c>
      <c r="AU112" s="6">
        <f t="shared" si="144"/>
        <v>806.87022774802313</v>
      </c>
      <c r="AV112" s="6">
        <f t="shared" si="144"/>
        <v>0</v>
      </c>
      <c r="AW112" s="6"/>
      <c r="AX112" s="6">
        <f t="shared" si="145"/>
        <v>0</v>
      </c>
      <c r="AY112" s="6">
        <f t="shared" si="146"/>
        <v>0</v>
      </c>
      <c r="AZ112" s="6">
        <f t="shared" si="147"/>
        <v>0</v>
      </c>
      <c r="BA112" s="6">
        <f t="shared" si="148"/>
        <v>0</v>
      </c>
      <c r="BB112" s="6">
        <f t="shared" si="149"/>
        <v>6247.8200905906506</v>
      </c>
      <c r="BC112" s="6">
        <f t="shared" si="150"/>
        <v>5579.5392030596986</v>
      </c>
      <c r="BD112" s="6">
        <f t="shared" si="151"/>
        <v>4937.4768849954071</v>
      </c>
      <c r="BE112" s="6">
        <f t="shared" si="152"/>
        <v>0</v>
      </c>
      <c r="BG112" s="14">
        <f t="shared" si="153"/>
        <v>16764.836178645754</v>
      </c>
      <c r="BH112" s="19">
        <f>BG112-Direct_Capex_Totals!V114</f>
        <v>0</v>
      </c>
    </row>
    <row r="113" spans="2:61" x14ac:dyDescent="0.25">
      <c r="B113" s="164" t="s">
        <v>138</v>
      </c>
      <c r="E113" s="8"/>
      <c r="F113" s="677"/>
      <c r="G113" s="677"/>
      <c r="H113" s="677"/>
      <c r="I113" s="8"/>
      <c r="J113" s="8"/>
      <c r="K113" s="8"/>
      <c r="L113" s="8"/>
      <c r="M113" s="8"/>
      <c r="N113" s="6">
        <f t="shared" ref="N113:U113" si="154">SUM(N91:N104)</f>
        <v>0</v>
      </c>
      <c r="O113" s="6">
        <f t="shared" si="154"/>
        <v>0</v>
      </c>
      <c r="P113" s="6">
        <f t="shared" si="154"/>
        <v>0</v>
      </c>
      <c r="Q113" s="6">
        <f t="shared" si="154"/>
        <v>12.735398230088494</v>
      </c>
      <c r="R113" s="6">
        <f t="shared" si="154"/>
        <v>205.37748870383621</v>
      </c>
      <c r="S113" s="6">
        <f t="shared" si="154"/>
        <v>1614.833465888406</v>
      </c>
      <c r="T113" s="6">
        <f t="shared" si="154"/>
        <v>1272.5617988143013</v>
      </c>
      <c r="U113" s="6">
        <f t="shared" si="154"/>
        <v>0</v>
      </c>
      <c r="V113" s="6"/>
      <c r="W113" s="6">
        <f t="shared" ref="W113:AD113" si="155">SUM(W91:W104)</f>
        <v>0</v>
      </c>
      <c r="X113" s="6">
        <f t="shared" si="155"/>
        <v>0</v>
      </c>
      <c r="Y113" s="6">
        <f t="shared" si="155"/>
        <v>0</v>
      </c>
      <c r="Z113" s="6">
        <f t="shared" si="155"/>
        <v>142.28125420625562</v>
      </c>
      <c r="AA113" s="6">
        <f t="shared" si="155"/>
        <v>52.896473784346355</v>
      </c>
      <c r="AB113" s="6">
        <f t="shared" si="155"/>
        <v>614.57577291443079</v>
      </c>
      <c r="AC113" s="6">
        <f t="shared" si="155"/>
        <v>502.24726215414012</v>
      </c>
      <c r="AD113" s="6">
        <f t="shared" si="155"/>
        <v>0</v>
      </c>
      <c r="AE113" s="6"/>
      <c r="AF113" s="6">
        <f t="shared" ref="AF113:AM113" si="156">SUM(AF91:AF104)</f>
        <v>0</v>
      </c>
      <c r="AG113" s="6">
        <f t="shared" si="156"/>
        <v>0</v>
      </c>
      <c r="AH113" s="6">
        <f t="shared" si="156"/>
        <v>0</v>
      </c>
      <c r="AI113" s="6">
        <f t="shared" si="156"/>
        <v>59.730593860789959</v>
      </c>
      <c r="AJ113" s="6">
        <f t="shared" si="156"/>
        <v>217.5926967276269</v>
      </c>
      <c r="AK113" s="6">
        <f t="shared" si="156"/>
        <v>2831.2553212353082</v>
      </c>
      <c r="AL113" s="6">
        <f t="shared" si="156"/>
        <v>2533.0833608164044</v>
      </c>
      <c r="AM113" s="6">
        <f t="shared" si="156"/>
        <v>0</v>
      </c>
      <c r="AN113" s="6"/>
      <c r="AO113" s="6">
        <f t="shared" ref="AO113:AV113" si="157">SUM(AO91:AO104)</f>
        <v>0</v>
      </c>
      <c r="AP113" s="6">
        <f t="shared" si="157"/>
        <v>0</v>
      </c>
      <c r="AQ113" s="6">
        <f t="shared" si="157"/>
        <v>0</v>
      </c>
      <c r="AR113" s="6">
        <f t="shared" si="157"/>
        <v>0</v>
      </c>
      <c r="AS113" s="6">
        <f t="shared" si="157"/>
        <v>12.543353002429708</v>
      </c>
      <c r="AT113" s="6">
        <f t="shared" si="157"/>
        <v>31.358382506074271</v>
      </c>
      <c r="AU113" s="6">
        <f t="shared" si="157"/>
        <v>31.358382506074271</v>
      </c>
      <c r="AV113" s="6">
        <f t="shared" si="157"/>
        <v>0</v>
      </c>
      <c r="AW113" s="6"/>
      <c r="AX113" s="6">
        <f t="shared" ref="AX113:BE113" si="158">SUM(AX91:AX104)</f>
        <v>0</v>
      </c>
      <c r="AY113" s="6">
        <f t="shared" si="158"/>
        <v>0</v>
      </c>
      <c r="AZ113" s="6">
        <f t="shared" si="158"/>
        <v>0</v>
      </c>
      <c r="BA113" s="6">
        <f t="shared" si="158"/>
        <v>214.74724629713407</v>
      </c>
      <c r="BB113" s="6">
        <f t="shared" si="158"/>
        <v>488.41001221823922</v>
      </c>
      <c r="BC113" s="6">
        <f t="shared" si="158"/>
        <v>5092.0229425442194</v>
      </c>
      <c r="BD113" s="6">
        <f t="shared" si="158"/>
        <v>4339.2508042909194</v>
      </c>
      <c r="BE113" s="6">
        <f t="shared" si="158"/>
        <v>0</v>
      </c>
      <c r="BG113" s="14">
        <f t="shared" si="153"/>
        <v>10134.431005350512</v>
      </c>
      <c r="BH113" s="325">
        <f>BG113-Direct_Capex_Totals!V115</f>
        <v>0</v>
      </c>
    </row>
    <row r="114" spans="2:61" s="25" customFormat="1" x14ac:dyDescent="0.25">
      <c r="B114" s="25" t="s">
        <v>81</v>
      </c>
      <c r="E114" s="42"/>
      <c r="F114" s="679"/>
      <c r="G114" s="679"/>
      <c r="H114" s="679"/>
      <c r="I114" s="42"/>
      <c r="J114" s="42"/>
      <c r="K114" s="42"/>
      <c r="L114" s="42"/>
      <c r="M114" s="42"/>
      <c r="N114" s="121">
        <f t="shared" ref="N114:U114" si="159">SUM(N107:N113)</f>
        <v>0</v>
      </c>
      <c r="O114" s="121">
        <f t="shared" si="159"/>
        <v>0</v>
      </c>
      <c r="P114" s="121">
        <f t="shared" si="159"/>
        <v>145.69629629629631</v>
      </c>
      <c r="Q114" s="121">
        <f t="shared" si="159"/>
        <v>2479.8632328754693</v>
      </c>
      <c r="R114" s="121">
        <f t="shared" si="159"/>
        <v>12769.514019399476</v>
      </c>
      <c r="S114" s="121">
        <f t="shared" si="159"/>
        <v>12099.378633562254</v>
      </c>
      <c r="T114" s="121">
        <f t="shared" si="159"/>
        <v>6300.0253619945879</v>
      </c>
      <c r="U114" s="121">
        <f t="shared" si="159"/>
        <v>0</v>
      </c>
      <c r="V114" s="129"/>
      <c r="W114" s="121">
        <f t="shared" ref="W114:AD114" si="160">SUM(W107:W113)</f>
        <v>0</v>
      </c>
      <c r="X114" s="121">
        <f t="shared" si="160"/>
        <v>0</v>
      </c>
      <c r="Y114" s="121">
        <f t="shared" si="160"/>
        <v>11.65185185185185</v>
      </c>
      <c r="Z114" s="121">
        <f t="shared" si="160"/>
        <v>1575.3590068544966</v>
      </c>
      <c r="AA114" s="121">
        <f t="shared" si="160"/>
        <v>2311.5976513978903</v>
      </c>
      <c r="AB114" s="121">
        <f t="shared" si="160"/>
        <v>4358.5865585129022</v>
      </c>
      <c r="AC114" s="121">
        <f t="shared" si="160"/>
        <v>2700.7577035784079</v>
      </c>
      <c r="AD114" s="121">
        <f t="shared" si="160"/>
        <v>0</v>
      </c>
      <c r="AE114" s="129"/>
      <c r="AF114" s="121">
        <f t="shared" ref="AF114:AM114" si="161">SUM(AF107:AF113)</f>
        <v>0</v>
      </c>
      <c r="AG114" s="121">
        <f t="shared" si="161"/>
        <v>0</v>
      </c>
      <c r="AH114" s="121">
        <f t="shared" si="161"/>
        <v>68.948148148148135</v>
      </c>
      <c r="AI114" s="121">
        <f t="shared" si="161"/>
        <v>4910.4752464588855</v>
      </c>
      <c r="AJ114" s="121">
        <f t="shared" si="161"/>
        <v>15226.894283668578</v>
      </c>
      <c r="AK114" s="121">
        <f t="shared" si="161"/>
        <v>21103.982529012021</v>
      </c>
      <c r="AL114" s="121">
        <f t="shared" si="161"/>
        <v>14441.885148350497</v>
      </c>
      <c r="AM114" s="121">
        <f t="shared" si="161"/>
        <v>0</v>
      </c>
      <c r="AN114" s="129"/>
      <c r="AO114" s="121">
        <f t="shared" ref="AO114:AV114" si="162">SUM(AO107:AO113)</f>
        <v>0</v>
      </c>
      <c r="AP114" s="121">
        <f t="shared" si="162"/>
        <v>0</v>
      </c>
      <c r="AQ114" s="121">
        <f t="shared" si="162"/>
        <v>0</v>
      </c>
      <c r="AR114" s="121">
        <f t="shared" si="162"/>
        <v>129.44926628226759</v>
      </c>
      <c r="AS114" s="121">
        <f t="shared" si="162"/>
        <v>326.06250137104956</v>
      </c>
      <c r="AT114" s="121">
        <f t="shared" si="162"/>
        <v>1398.1688855245611</v>
      </c>
      <c r="AU114" s="121">
        <f t="shared" si="162"/>
        <v>1183.8971748628644</v>
      </c>
      <c r="AV114" s="121">
        <f t="shared" si="162"/>
        <v>0</v>
      </c>
      <c r="AW114" s="129"/>
      <c r="AX114" s="121">
        <f t="shared" ref="AX114:BE114" si="163">SUM(AX107:AX113)</f>
        <v>0</v>
      </c>
      <c r="AY114" s="121">
        <f t="shared" si="163"/>
        <v>0</v>
      </c>
      <c r="AZ114" s="121">
        <f t="shared" si="163"/>
        <v>226.2962962962963</v>
      </c>
      <c r="BA114" s="121">
        <f t="shared" si="163"/>
        <v>9095.1467524711206</v>
      </c>
      <c r="BB114" s="121">
        <f t="shared" si="163"/>
        <v>30634.068455836994</v>
      </c>
      <c r="BC114" s="121">
        <f t="shared" si="163"/>
        <v>38960.116606611729</v>
      </c>
      <c r="BD114" s="121">
        <f t="shared" si="163"/>
        <v>24626.565388786359</v>
      </c>
      <c r="BE114" s="121">
        <f t="shared" si="163"/>
        <v>0</v>
      </c>
      <c r="BF114" s="130"/>
      <c r="BG114" s="121">
        <f>SUM(BG107:BG113)</f>
        <v>103542.19350000253</v>
      </c>
      <c r="BH114" s="131">
        <f>BG114-Direct_Capex_Totals!V116</f>
        <v>0</v>
      </c>
      <c r="BI114" s="76"/>
    </row>
    <row r="115" spans="2:61" x14ac:dyDescent="0.25">
      <c r="B115" s="200" t="s">
        <v>72</v>
      </c>
      <c r="E115" s="8"/>
      <c r="F115" s="677"/>
      <c r="G115" s="677"/>
      <c r="H115" s="677"/>
      <c r="I115" s="8"/>
      <c r="J115" s="8"/>
      <c r="K115" s="8"/>
      <c r="L115" s="8"/>
      <c r="M115" s="8"/>
      <c r="N115" s="6"/>
      <c r="O115" s="6"/>
      <c r="P115" s="6"/>
      <c r="Q115" s="6"/>
      <c r="S115" s="201"/>
      <c r="T115" s="201"/>
      <c r="U115" s="201">
        <f>SUM(N114:U114)-Direct_Capex_Totals!Q116</f>
        <v>0</v>
      </c>
      <c r="V115" s="201"/>
      <c r="W115" s="201"/>
      <c r="X115" s="201"/>
      <c r="Y115" s="201"/>
      <c r="Z115" s="201"/>
      <c r="AB115" s="201"/>
      <c r="AC115" s="201"/>
      <c r="AD115" s="201">
        <f>SUM(W114:AD114)-Direct_Capex_Totals!R116</f>
        <v>0</v>
      </c>
      <c r="AE115" s="201"/>
      <c r="AF115" s="201"/>
      <c r="AG115" s="201"/>
      <c r="AH115" s="201"/>
      <c r="AI115" s="201"/>
      <c r="AK115" s="201"/>
      <c r="AM115" s="201">
        <f>SUM(AF114:AM114)-Direct_Capex_Totals!S116-Direct_Capex_Totals!T116</f>
        <v>0</v>
      </c>
      <c r="AN115" s="201"/>
      <c r="AO115" s="201"/>
      <c r="AP115" s="201"/>
      <c r="AQ115" s="201"/>
      <c r="AR115" s="201"/>
      <c r="AT115" s="201"/>
      <c r="AU115" s="201"/>
      <c r="AV115" s="201">
        <f>SUM(AO114:AV114)-Direct_Capex_Totals!U116</f>
        <v>0</v>
      </c>
      <c r="AW115" s="6"/>
      <c r="AX115" s="6"/>
      <c r="AY115" s="6"/>
      <c r="AZ115" s="6"/>
      <c r="BA115" s="6"/>
      <c r="BB115" s="6"/>
      <c r="BC115" s="6"/>
      <c r="BD115" s="6"/>
      <c r="BE115" s="6"/>
    </row>
    <row r="116" spans="2:61" x14ac:dyDescent="0.25">
      <c r="B116" s="162"/>
      <c r="E116" s="8"/>
      <c r="F116" s="677"/>
      <c r="G116" s="677"/>
      <c r="H116" s="677"/>
      <c r="I116" s="8"/>
      <c r="J116" s="8"/>
      <c r="K116" s="8"/>
      <c r="L116" s="8"/>
      <c r="M116" s="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spans="2:61" x14ac:dyDescent="0.25">
      <c r="B117" s="23" t="s">
        <v>116</v>
      </c>
      <c r="E117" s="8"/>
      <c r="F117" s="677"/>
      <c r="G117" s="677"/>
      <c r="H117" s="677"/>
      <c r="I117" s="8"/>
      <c r="J117" s="8"/>
      <c r="K117" s="8"/>
      <c r="L117" s="8"/>
      <c r="M117" s="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</row>
    <row r="118" spans="2:61" x14ac:dyDescent="0.25">
      <c r="B118" s="130" t="s">
        <v>69</v>
      </c>
      <c r="E118" s="8"/>
      <c r="F118" s="677"/>
      <c r="G118" s="677"/>
      <c r="H118" s="677"/>
      <c r="I118" s="8"/>
      <c r="J118" s="8"/>
      <c r="K118" s="8"/>
      <c r="L118" s="8"/>
      <c r="M118" s="8"/>
      <c r="N118" s="151">
        <v>2016</v>
      </c>
      <c r="O118" s="151">
        <v>2017</v>
      </c>
      <c r="P118" s="151">
        <v>2018</v>
      </c>
      <c r="Q118" s="151">
        <v>2019</v>
      </c>
      <c r="R118" s="151">
        <v>2020</v>
      </c>
      <c r="S118" s="151">
        <v>2021</v>
      </c>
      <c r="T118" s="151">
        <v>2022</v>
      </c>
      <c r="U118" s="151">
        <v>2023</v>
      </c>
      <c r="V118" s="6"/>
      <c r="W118" s="151">
        <v>2016</v>
      </c>
      <c r="X118" s="151">
        <v>2017</v>
      </c>
      <c r="Y118" s="151">
        <v>2018</v>
      </c>
      <c r="Z118" s="151">
        <v>2019</v>
      </c>
      <c r="AA118" s="151">
        <v>2020</v>
      </c>
      <c r="AB118" s="151">
        <v>2021</v>
      </c>
      <c r="AC118" s="151">
        <v>2022</v>
      </c>
      <c r="AD118" s="151">
        <v>2023</v>
      </c>
      <c r="AE118" s="6"/>
      <c r="AF118" s="151">
        <v>2016</v>
      </c>
      <c r="AG118" s="151">
        <v>2017</v>
      </c>
      <c r="AH118" s="151">
        <v>2018</v>
      </c>
      <c r="AI118" s="151">
        <v>2019</v>
      </c>
      <c r="AJ118" s="151">
        <v>2020</v>
      </c>
      <c r="AK118" s="151">
        <v>2021</v>
      </c>
      <c r="AL118" s="151">
        <v>2022</v>
      </c>
      <c r="AM118" s="151">
        <v>2023</v>
      </c>
      <c r="AN118" s="6"/>
      <c r="AO118" s="151">
        <v>2016</v>
      </c>
      <c r="AP118" s="151">
        <v>2017</v>
      </c>
      <c r="AQ118" s="151">
        <v>2018</v>
      </c>
      <c r="AR118" s="151">
        <v>2019</v>
      </c>
      <c r="AS118" s="151">
        <v>2020</v>
      </c>
      <c r="AT118" s="151">
        <v>2021</v>
      </c>
      <c r="AU118" s="151">
        <v>2022</v>
      </c>
      <c r="AV118" s="151">
        <v>2023</v>
      </c>
      <c r="AW118" s="6"/>
      <c r="AX118" s="151">
        <v>2016</v>
      </c>
      <c r="AY118" s="151">
        <v>2017</v>
      </c>
      <c r="AZ118" s="151">
        <v>2018</v>
      </c>
      <c r="BA118" s="151">
        <v>2019</v>
      </c>
      <c r="BB118" s="151">
        <v>2020</v>
      </c>
      <c r="BC118" s="151">
        <v>2021</v>
      </c>
      <c r="BD118" s="151">
        <v>2022</v>
      </c>
      <c r="BE118" s="151">
        <v>2023</v>
      </c>
      <c r="BF118" s="151"/>
      <c r="BG118" s="4" t="s">
        <v>13</v>
      </c>
    </row>
    <row r="119" spans="2:61" x14ac:dyDescent="0.25">
      <c r="B119" s="8" t="s">
        <v>18</v>
      </c>
      <c r="E119" s="8"/>
      <c r="F119" s="677"/>
      <c r="G119" s="677"/>
      <c r="H119" s="677"/>
      <c r="I119" s="8"/>
      <c r="J119" s="8"/>
      <c r="K119" s="8"/>
      <c r="L119" s="8"/>
      <c r="M119" s="8"/>
      <c r="V119" s="6"/>
    </row>
    <row r="120" spans="2:61" x14ac:dyDescent="0.25">
      <c r="B120" s="146" t="s">
        <v>42</v>
      </c>
      <c r="E120" s="8"/>
      <c r="F120" s="680"/>
      <c r="G120" s="677"/>
      <c r="H120" s="677" t="s">
        <v>194</v>
      </c>
      <c r="I120" s="8"/>
      <c r="J120" s="8"/>
      <c r="K120" s="8"/>
      <c r="L120" s="8"/>
      <c r="M120" s="8"/>
      <c r="N120" s="6">
        <f>SUMIF($H$7:$H$104,$H120,N$7:N$104)+INDEX(Other_Tables!$L$40:$L$45,MATCH($H120,Other_Tables!$B$40:$B$45,0),)*(N$99+N$100)</f>
        <v>0</v>
      </c>
      <c r="O120" s="6">
        <f>SUMIF($H$7:$H$104,$H120,O$7:O$104)+INDEX(Other_Tables!$L$40:$L$45,MATCH($H120,Other_Tables!$B$40:$B$45,0),)*(O$99+O$100)</f>
        <v>0</v>
      </c>
      <c r="P120" s="6">
        <f>SUMIF($H$7:$H$104,$H120,P$7:P$104)+INDEX(Other_Tables!$L$40:$L$45,MATCH($H120,Other_Tables!$B$40:$B$45,0),)*(P$99+P$100)</f>
        <v>0</v>
      </c>
      <c r="Q120" s="6">
        <f>SUMIF($H$7:$H$104,$H120,Q$7:Q$104)+INDEX(Other_Tables!$L$40:$L$45,MATCH($H120,Other_Tables!$B$40:$B$45,0),)*(Q$99+Q$100)</f>
        <v>816.17818318584057</v>
      </c>
      <c r="R120" s="6">
        <f>SUMIF($H$7:$H$104,$H120,R$7:R$104)+INDEX(Other_Tables!$L$40:$L$45,MATCH($H120,Other_Tables!$B$40:$B$45,0),)*(R$99+R$100)</f>
        <v>5167.3197663836236</v>
      </c>
      <c r="S120" s="6">
        <f>SUMIF($H$7:$H$104,$H120,S$7:S$104)+INDEX(Other_Tables!$L$40:$L$45,MATCH($H120,Other_Tables!$B$40:$B$45,0),)*(S$99+S$100)</f>
        <v>5974.0629405432337</v>
      </c>
      <c r="T120" s="6">
        <f>SUMIF($H$7:$H$104,$H120,T$7:T$104)+INDEX(Other_Tables!$L$40:$L$45,MATCH($H120,Other_Tables!$B$40:$B$45,0),)*(T$99+T$100)</f>
        <v>2778.3008458630625</v>
      </c>
      <c r="U120" s="6">
        <f>SUMIF($H$7:$H$104,$H120,U$7:U$104)+INDEX(Other_Tables!$L$40:$L$45,MATCH($H120,Other_Tables!$B$40:$B$45,0),)*(U$99+U$100)</f>
        <v>0</v>
      </c>
      <c r="V120" s="6"/>
      <c r="W120" s="6">
        <f>SUMIF($H$7:$H$104,$H120,W$7:W$104)+INDEX(Other_Tables!$L$40:$L$45,MATCH($H120,Other_Tables!$B$40:$B$45,0),)*(W$99+W$100)</f>
        <v>0</v>
      </c>
      <c r="X120" s="6">
        <f>SUMIF($H$7:$H$104,$H120,X$7:X$104)+INDEX(Other_Tables!$L$40:$L$45,MATCH($H120,Other_Tables!$B$40:$B$45,0),)*(X$99+X$100)</f>
        <v>0</v>
      </c>
      <c r="Y120" s="6">
        <f>SUMIF($H$7:$H$104,$H120,Y$7:Y$104)+INDEX(Other_Tables!$L$40:$L$45,MATCH($H120,Other_Tables!$B$40:$B$45,0),)*(Y$99+Y$100)</f>
        <v>0</v>
      </c>
      <c r="Z120" s="6">
        <f>SUMIF($H$7:$H$104,$H120,Z$7:Z$104)+INDEX(Other_Tables!$L$40:$L$45,MATCH($H120,Other_Tables!$B$40:$B$45,0),)*(Z$99+Z$100)</f>
        <v>735.98498529846745</v>
      </c>
      <c r="AA120" s="6">
        <f>SUMIF($H$7:$H$104,$H120,AA$7:AA$104)+INDEX(Other_Tables!$L$40:$L$45,MATCH($H120,Other_Tables!$B$40:$B$45,0),)*(AA$99+AA$100)</f>
        <v>1105.7101295445318</v>
      </c>
      <c r="AB120" s="6">
        <f>SUMIF($H$7:$H$104,$H120,AB$7:AB$104)+INDEX(Other_Tables!$L$40:$L$45,MATCH($H120,Other_Tables!$B$40:$B$45,0),)*(AB$99+AB$100)</f>
        <v>2339.8929688383473</v>
      </c>
      <c r="AC120" s="6">
        <f>SUMIF($H$7:$H$104,$H120,AC$7:AC$104)+INDEX(Other_Tables!$L$40:$L$45,MATCH($H120,Other_Tables!$B$40:$B$45,0),)*(AC$99+AC$100)</f>
        <v>1234.2098919097807</v>
      </c>
      <c r="AD120" s="6">
        <f>SUMIF($H$7:$H$104,$H120,AD$7:AD$104)+INDEX(Other_Tables!$L$40:$L$45,MATCH($H120,Other_Tables!$B$40:$B$45,0),)*(AD$99+AD$100)</f>
        <v>0</v>
      </c>
      <c r="AE120" s="6"/>
      <c r="AF120" s="6">
        <f>SUMIF($H$7:$H$104,$H120,AF$7:AF$104)+INDEX(Other_Tables!$L$40:$L$45,MATCH($H120,Other_Tables!$B$40:$B$45,0),)*(AF$99+AF$100)</f>
        <v>0</v>
      </c>
      <c r="AG120" s="6">
        <f>SUMIF($H$7:$H$104,$H120,AG$7:AG$104)+INDEX(Other_Tables!$L$40:$L$45,MATCH($H120,Other_Tables!$B$40:$B$45,0),)*(AG$99+AG$100)</f>
        <v>0</v>
      </c>
      <c r="AH120" s="6">
        <f>SUMIF($H$7:$H$104,$H120,AH$7:AH$104)+INDEX(Other_Tables!$L$40:$L$45,MATCH($H120,Other_Tables!$B$40:$B$45,0),)*(AH$99+AH$100)</f>
        <v>0</v>
      </c>
      <c r="AI120" s="6">
        <f>SUMIF($H$7:$H$104,$H120,AI$7:AI$104)+INDEX(Other_Tables!$L$40:$L$45,MATCH($H120,Other_Tables!$B$40:$B$45,0),)*(AI$99+AI$100)</f>
        <v>2550.7019300506827</v>
      </c>
      <c r="AJ120" s="6">
        <f>SUMIF($H$7:$H$104,$H120,AJ$7:AJ$104)+INDEX(Other_Tables!$L$40:$L$45,MATCH($H120,Other_Tables!$B$40:$B$45,0),)*(AJ$99+AJ$100)</f>
        <v>7359.5908747401245</v>
      </c>
      <c r="AK120" s="6">
        <f>SUMIF($H$7:$H$104,$H120,AK$7:AK$104)+INDEX(Other_Tables!$L$40:$L$45,MATCH($H120,Other_Tables!$B$40:$B$45,0),)*(AK$99+AK$100)</f>
        <v>10558.259826045789</v>
      </c>
      <c r="AL120" s="6">
        <f>SUMIF($H$7:$H$104,$H120,AL$7:AL$104)+INDEX(Other_Tables!$L$40:$L$45,MATCH($H120,Other_Tables!$B$40:$B$45,0),)*(AL$99+AL$100)</f>
        <v>6054.9362518449179</v>
      </c>
      <c r="AM120" s="6">
        <f>SUMIF($H$7:$H$104,$H120,AM$7:AM$104)+INDEX(Other_Tables!$L$40:$L$45,MATCH($H120,Other_Tables!$B$40:$B$45,0),)*(AM$99+AM$100)</f>
        <v>0</v>
      </c>
      <c r="AN120" s="6"/>
      <c r="AO120" s="6">
        <f>SUMIF($H$7:$H$104,$H120,AO$7:AO$104)+INDEX(Other_Tables!$L$40:$L$45,MATCH($H120,Other_Tables!$B$40:$B$45,0),)*(AO$99+AO$100)</f>
        <v>0</v>
      </c>
      <c r="AP120" s="6">
        <f>SUMIF($H$7:$H$104,$H120,AP$7:AP$104)+INDEX(Other_Tables!$L$40:$L$45,MATCH($H120,Other_Tables!$B$40:$B$45,0),)*(AP$99+AP$100)</f>
        <v>0</v>
      </c>
      <c r="AQ120" s="6">
        <f>SUMIF($H$7:$H$104,$H120,AQ$7:AQ$104)+INDEX(Other_Tables!$L$40:$L$45,MATCH($H120,Other_Tables!$B$40:$B$45,0),)*(AQ$99+AQ$100)</f>
        <v>0</v>
      </c>
      <c r="AR120" s="6">
        <f>SUMIF($H$7:$H$104,$H120,AR$7:AR$104)+INDEX(Other_Tables!$L$40:$L$45,MATCH($H120,Other_Tables!$B$40:$B$45,0),)*(AR$99+AR$100)</f>
        <v>78.079311504424766</v>
      </c>
      <c r="AS120" s="6">
        <f>SUMIF($H$7:$H$104,$H120,AS$7:AS$104)+INDEX(Other_Tables!$L$40:$L$45,MATCH($H120,Other_Tables!$B$40:$B$45,0),)*(AS$99+AS$100)</f>
        <v>209.96697765486721</v>
      </c>
      <c r="AT120" s="6">
        <f>SUMIF($H$7:$H$104,$H120,AT$7:AT$104)+INDEX(Other_Tables!$L$40:$L$45,MATCH($H120,Other_Tables!$B$40:$B$45,0),)*(AT$99+AT$100)</f>
        <v>948.32866490520814</v>
      </c>
      <c r="AU120" s="6">
        <f>SUMIF($H$7:$H$104,$H120,AU$7:AU$104)+INDEX(Other_Tables!$L$40:$L$45,MATCH($H120,Other_Tables!$B$40:$B$45,0),)*(AU$99+AU$100)</f>
        <v>788.19924549651955</v>
      </c>
      <c r="AV120" s="6">
        <f>SUMIF($H$7:$H$104,$H120,AV$7:AV$104)+INDEX(Other_Tables!$L$40:$L$45,MATCH($H120,Other_Tables!$B$40:$B$45,0),)*(AV$99+AV$100)</f>
        <v>0</v>
      </c>
      <c r="AW120" s="6"/>
      <c r="AX120" s="6">
        <f t="shared" ref="AX120:AX128" si="164">N120+W120+AF120+AO120</f>
        <v>0</v>
      </c>
      <c r="AY120" s="6">
        <f t="shared" ref="AY120:AY128" si="165">O120+X120+AG120+AP120</f>
        <v>0</v>
      </c>
      <c r="AZ120" s="6">
        <f t="shared" ref="AZ120:AZ128" si="166">P120+Y120+AH120+AQ120</f>
        <v>0</v>
      </c>
      <c r="BA120" s="6">
        <f t="shared" ref="BA120:BA128" si="167">Q120+Z120+AI120+AR120</f>
        <v>4180.9444100394148</v>
      </c>
      <c r="BB120" s="6">
        <f t="shared" ref="BB120:BB128" si="168">R120+AA120+AJ120+AS120</f>
        <v>13842.587748323147</v>
      </c>
      <c r="BC120" s="6">
        <f t="shared" ref="BC120:BE122" si="169">S120+AB120+AK120+AT120</f>
        <v>19820.544400332579</v>
      </c>
      <c r="BD120" s="6">
        <f t="shared" si="169"/>
        <v>10855.646235114282</v>
      </c>
      <c r="BE120" s="6">
        <f t="shared" si="169"/>
        <v>0</v>
      </c>
      <c r="BG120" s="14">
        <f>SUM(AX120:BE120)</f>
        <v>48699.722793809429</v>
      </c>
    </row>
    <row r="121" spans="2:61" x14ac:dyDescent="0.25">
      <c r="B121" s="146" t="s">
        <v>44</v>
      </c>
      <c r="E121" s="8"/>
      <c r="F121" s="680"/>
      <c r="G121" s="677"/>
      <c r="H121" s="677" t="s">
        <v>197</v>
      </c>
      <c r="I121" s="8"/>
      <c r="J121" s="8"/>
      <c r="K121" s="8"/>
      <c r="L121" s="8"/>
      <c r="M121" s="8"/>
      <c r="N121" s="6">
        <f>SUMIF($H$7:$H$104,$H121,N$7:N$104)+INDEX(Other_Tables!$L$40:$L$45,MATCH($H121,Other_Tables!$B$40:$B$45,0),)*(N$99+N$100)</f>
        <v>0</v>
      </c>
      <c r="O121" s="6">
        <f>SUMIF($H$7:$H$104,$H121,O$7:O$104)+INDEX(Other_Tables!$L$40:$L$45,MATCH($H121,Other_Tables!$B$40:$B$45,0),)*(O$99+O$100)</f>
        <v>0</v>
      </c>
      <c r="P121" s="6">
        <f>SUMIF($H$7:$H$104,$H121,P$7:P$104)+INDEX(Other_Tables!$L$40:$L$45,MATCH($H121,Other_Tables!$B$40:$B$45,0),)*(P$99+P$100)</f>
        <v>0</v>
      </c>
      <c r="Q121" s="6">
        <f>SUMIF($H$7:$H$104,$H121,Q$7:Q$104)+INDEX(Other_Tables!$L$40:$L$45,MATCH($H121,Other_Tables!$B$40:$B$45,0),)*(Q$99+Q$100)</f>
        <v>0</v>
      </c>
      <c r="R121" s="6">
        <f>SUMIF($H$7:$H$104,$H121,R$7:R$104)+INDEX(Other_Tables!$L$40:$L$45,MATCH($H121,Other_Tables!$B$40:$B$45,0),)*(R$99+R$100)</f>
        <v>0</v>
      </c>
      <c r="S121" s="6">
        <f>SUMIF($H$7:$H$104,$H121,S$7:S$104)+INDEX(Other_Tables!$L$40:$L$45,MATCH($H121,Other_Tables!$B$40:$B$45,0),)*(S$99+S$100)</f>
        <v>0</v>
      </c>
      <c r="T121" s="6">
        <f>SUMIF($H$7:$H$104,$H121,T$7:T$104)+INDEX(Other_Tables!$L$40:$L$45,MATCH($H121,Other_Tables!$B$40:$B$45,0),)*(T$99+T$100)</f>
        <v>0</v>
      </c>
      <c r="U121" s="6">
        <f>SUMIF($H$7:$H$104,$H121,U$7:U$104)+INDEX(Other_Tables!$L$40:$L$45,MATCH($H121,Other_Tables!$B$40:$B$45,0),)*(U$99+U$100)</f>
        <v>0</v>
      </c>
      <c r="V121" s="6"/>
      <c r="W121" s="6">
        <f>SUMIF($H$7:$H$104,$H121,W$7:W$104)+INDEX(Other_Tables!$L$40:$L$45,MATCH($H121,Other_Tables!$B$40:$B$45,0),)*(W$99+W$100)</f>
        <v>0</v>
      </c>
      <c r="X121" s="6">
        <f>SUMIF($H$7:$H$104,$H121,X$7:X$104)+INDEX(Other_Tables!$L$40:$L$45,MATCH($H121,Other_Tables!$B$40:$B$45,0),)*(X$99+X$100)</f>
        <v>0</v>
      </c>
      <c r="Y121" s="6">
        <f>SUMIF($H$7:$H$104,$H121,Y$7:Y$104)+INDEX(Other_Tables!$L$40:$L$45,MATCH($H121,Other_Tables!$B$40:$B$45,0),)*(Y$99+Y$100)</f>
        <v>0</v>
      </c>
      <c r="Z121" s="6">
        <f>SUMIF($H$7:$H$104,$H121,Z$7:Z$104)+INDEX(Other_Tables!$L$40:$L$45,MATCH($H121,Other_Tables!$B$40:$B$45,0),)*(Z$99+Z$100)</f>
        <v>0</v>
      </c>
      <c r="AA121" s="6">
        <f>SUMIF($H$7:$H$104,$H121,AA$7:AA$104)+INDEX(Other_Tables!$L$40:$L$45,MATCH($H121,Other_Tables!$B$40:$B$45,0),)*(AA$99+AA$100)</f>
        <v>0</v>
      </c>
      <c r="AB121" s="6">
        <f>SUMIF($H$7:$H$104,$H121,AB$7:AB$104)+INDEX(Other_Tables!$L$40:$L$45,MATCH($H121,Other_Tables!$B$40:$B$45,0),)*(AB$99+AB$100)</f>
        <v>0</v>
      </c>
      <c r="AC121" s="6">
        <f>SUMIF($H$7:$H$104,$H121,AC$7:AC$104)+INDEX(Other_Tables!$L$40:$L$45,MATCH($H121,Other_Tables!$B$40:$B$45,0),)*(AC$99+AC$100)</f>
        <v>0</v>
      </c>
      <c r="AD121" s="6">
        <f>SUMIF($H$7:$H$104,$H121,AD$7:AD$104)+INDEX(Other_Tables!$L$40:$L$45,MATCH($H121,Other_Tables!$B$40:$B$45,0),)*(AD$99+AD$100)</f>
        <v>0</v>
      </c>
      <c r="AE121" s="6"/>
      <c r="AF121" s="6">
        <f>SUMIF($H$7:$H$104,$H121,AF$7:AF$104)+INDEX(Other_Tables!$L$40:$L$45,MATCH($H121,Other_Tables!$B$40:$B$45,0),)*(AF$99+AF$100)</f>
        <v>0</v>
      </c>
      <c r="AG121" s="6">
        <f>SUMIF($H$7:$H$104,$H121,AG$7:AG$104)+INDEX(Other_Tables!$L$40:$L$45,MATCH($H121,Other_Tables!$B$40:$B$45,0),)*(AG$99+AG$100)</f>
        <v>0</v>
      </c>
      <c r="AH121" s="6">
        <f>SUMIF($H$7:$H$104,$H121,AH$7:AH$104)+INDEX(Other_Tables!$L$40:$L$45,MATCH($H121,Other_Tables!$B$40:$B$45,0),)*(AH$99+AH$100)</f>
        <v>0</v>
      </c>
      <c r="AI121" s="6">
        <f>SUMIF($H$7:$H$104,$H121,AI$7:AI$104)+INDEX(Other_Tables!$L$40:$L$45,MATCH($H121,Other_Tables!$B$40:$B$45,0),)*(AI$99+AI$100)</f>
        <v>0</v>
      </c>
      <c r="AJ121" s="6">
        <f>SUMIF($H$7:$H$104,$H121,AJ$7:AJ$104)+INDEX(Other_Tables!$L$40:$L$45,MATCH($H121,Other_Tables!$B$40:$B$45,0),)*(AJ$99+AJ$100)</f>
        <v>0</v>
      </c>
      <c r="AK121" s="6">
        <f>SUMIF($H$7:$H$104,$H121,AK$7:AK$104)+INDEX(Other_Tables!$L$40:$L$45,MATCH($H121,Other_Tables!$B$40:$B$45,0),)*(AK$99+AK$100)</f>
        <v>0</v>
      </c>
      <c r="AL121" s="6">
        <f>SUMIF($H$7:$H$104,$H121,AL$7:AL$104)+INDEX(Other_Tables!$L$40:$L$45,MATCH($H121,Other_Tables!$B$40:$B$45,0),)*(AL$99+AL$100)</f>
        <v>0</v>
      </c>
      <c r="AM121" s="6">
        <f>SUMIF($H$7:$H$104,$H121,AM$7:AM$104)+INDEX(Other_Tables!$L$40:$L$45,MATCH($H121,Other_Tables!$B$40:$B$45,0),)*(AM$99+AM$100)</f>
        <v>0</v>
      </c>
      <c r="AN121" s="6"/>
      <c r="AO121" s="6">
        <f>SUMIF($H$7:$H$104,$H121,AO$7:AO$104)+INDEX(Other_Tables!$L$40:$L$45,MATCH($H121,Other_Tables!$B$40:$B$45,0),)*(AO$99+AO$100)</f>
        <v>0</v>
      </c>
      <c r="AP121" s="6">
        <f>SUMIF($H$7:$H$104,$H121,AP$7:AP$104)+INDEX(Other_Tables!$L$40:$L$45,MATCH($H121,Other_Tables!$B$40:$B$45,0),)*(AP$99+AP$100)</f>
        <v>0</v>
      </c>
      <c r="AQ121" s="6">
        <f>SUMIF($H$7:$H$104,$H121,AQ$7:AQ$104)+INDEX(Other_Tables!$L$40:$L$45,MATCH($H121,Other_Tables!$B$40:$B$45,0),)*(AQ$99+AQ$100)</f>
        <v>0</v>
      </c>
      <c r="AR121" s="6">
        <f>SUMIF($H$7:$H$104,$H121,AR$7:AR$104)+INDEX(Other_Tables!$L$40:$L$45,MATCH($H121,Other_Tables!$B$40:$B$45,0),)*(AR$99+AR$100)</f>
        <v>0</v>
      </c>
      <c r="AS121" s="6">
        <f>SUMIF($H$7:$H$104,$H121,AS$7:AS$104)+INDEX(Other_Tables!$L$40:$L$45,MATCH($H121,Other_Tables!$B$40:$B$45,0),)*(AS$99+AS$100)</f>
        <v>0</v>
      </c>
      <c r="AT121" s="6">
        <f>SUMIF($H$7:$H$104,$H121,AT$7:AT$104)+INDEX(Other_Tables!$L$40:$L$45,MATCH($H121,Other_Tables!$B$40:$B$45,0),)*(AT$99+AT$100)</f>
        <v>0</v>
      </c>
      <c r="AU121" s="6">
        <f>SUMIF($H$7:$H$104,$H121,AU$7:AU$104)+INDEX(Other_Tables!$L$40:$L$45,MATCH($H121,Other_Tables!$B$40:$B$45,0),)*(AU$99+AU$100)</f>
        <v>0</v>
      </c>
      <c r="AV121" s="6">
        <f>SUMIF($H$7:$H$104,$H121,AV$7:AV$104)+INDEX(Other_Tables!$L$40:$L$45,MATCH($H121,Other_Tables!$B$40:$B$45,0),)*(AV$99+AV$100)</f>
        <v>0</v>
      </c>
      <c r="AW121" s="6"/>
      <c r="AX121" s="6">
        <f t="shared" si="164"/>
        <v>0</v>
      </c>
      <c r="AY121" s="6">
        <f t="shared" si="165"/>
        <v>0</v>
      </c>
      <c r="AZ121" s="6">
        <f t="shared" si="166"/>
        <v>0</v>
      </c>
      <c r="BA121" s="6">
        <f t="shared" si="167"/>
        <v>0</v>
      </c>
      <c r="BB121" s="6">
        <f t="shared" si="168"/>
        <v>0</v>
      </c>
      <c r="BC121" s="6">
        <f t="shared" si="169"/>
        <v>0</v>
      </c>
      <c r="BD121" s="6">
        <f t="shared" si="169"/>
        <v>0</v>
      </c>
      <c r="BE121" s="6">
        <f t="shared" si="169"/>
        <v>0</v>
      </c>
      <c r="BG121" s="14">
        <f>SUM(AX121:BE121)</f>
        <v>0</v>
      </c>
    </row>
    <row r="122" spans="2:61" x14ac:dyDescent="0.25">
      <c r="B122" s="146" t="s">
        <v>118</v>
      </c>
      <c r="E122" s="8"/>
      <c r="F122" s="680"/>
      <c r="G122" s="677"/>
      <c r="H122" s="677"/>
      <c r="I122" s="8"/>
      <c r="J122" s="8"/>
      <c r="K122" s="8"/>
      <c r="L122" s="8"/>
      <c r="M122" s="8"/>
      <c r="N122" s="24">
        <f>SUM(N120:N121)</f>
        <v>0</v>
      </c>
      <c r="O122" s="24">
        <f t="shared" ref="O122:U122" si="170">SUM(O120:O121)</f>
        <v>0</v>
      </c>
      <c r="P122" s="24">
        <f t="shared" si="170"/>
        <v>0</v>
      </c>
      <c r="Q122" s="24">
        <f t="shared" si="170"/>
        <v>816.17818318584057</v>
      </c>
      <c r="R122" s="24">
        <f t="shared" si="170"/>
        <v>5167.3197663836236</v>
      </c>
      <c r="S122" s="24">
        <f t="shared" si="170"/>
        <v>5974.0629405432337</v>
      </c>
      <c r="T122" s="24">
        <f t="shared" si="170"/>
        <v>2778.3008458630625</v>
      </c>
      <c r="U122" s="24">
        <f t="shared" si="170"/>
        <v>0</v>
      </c>
      <c r="V122" s="6"/>
      <c r="W122" s="24">
        <f t="shared" ref="W122:AD122" si="171">SUM(W120:W121)</f>
        <v>0</v>
      </c>
      <c r="X122" s="24">
        <f t="shared" si="171"/>
        <v>0</v>
      </c>
      <c r="Y122" s="24">
        <f t="shared" si="171"/>
        <v>0</v>
      </c>
      <c r="Z122" s="24">
        <f t="shared" si="171"/>
        <v>735.98498529846745</v>
      </c>
      <c r="AA122" s="24">
        <f t="shared" si="171"/>
        <v>1105.7101295445318</v>
      </c>
      <c r="AB122" s="24">
        <f t="shared" si="171"/>
        <v>2339.8929688383473</v>
      </c>
      <c r="AC122" s="24">
        <f t="shared" si="171"/>
        <v>1234.2098919097807</v>
      </c>
      <c r="AD122" s="24">
        <f t="shared" si="171"/>
        <v>0</v>
      </c>
      <c r="AE122" s="6"/>
      <c r="AF122" s="24">
        <f t="shared" ref="AF122:AM122" si="172">SUM(AF120:AF121)</f>
        <v>0</v>
      </c>
      <c r="AG122" s="24">
        <f t="shared" si="172"/>
        <v>0</v>
      </c>
      <c r="AH122" s="24">
        <f t="shared" si="172"/>
        <v>0</v>
      </c>
      <c r="AI122" s="24">
        <f t="shared" si="172"/>
        <v>2550.7019300506827</v>
      </c>
      <c r="AJ122" s="24">
        <f t="shared" si="172"/>
        <v>7359.5908747401245</v>
      </c>
      <c r="AK122" s="24">
        <f t="shared" si="172"/>
        <v>10558.259826045789</v>
      </c>
      <c r="AL122" s="24">
        <f t="shared" si="172"/>
        <v>6054.9362518449179</v>
      </c>
      <c r="AM122" s="24">
        <f t="shared" si="172"/>
        <v>0</v>
      </c>
      <c r="AN122" s="6"/>
      <c r="AO122" s="24">
        <f t="shared" ref="AO122:AV122" si="173">SUM(AO120:AO121)</f>
        <v>0</v>
      </c>
      <c r="AP122" s="24">
        <f t="shared" si="173"/>
        <v>0</v>
      </c>
      <c r="AQ122" s="24">
        <f t="shared" si="173"/>
        <v>0</v>
      </c>
      <c r="AR122" s="24">
        <f t="shared" si="173"/>
        <v>78.079311504424766</v>
      </c>
      <c r="AS122" s="24">
        <f t="shared" si="173"/>
        <v>209.96697765486721</v>
      </c>
      <c r="AT122" s="24">
        <f t="shared" si="173"/>
        <v>948.32866490520814</v>
      </c>
      <c r="AU122" s="24">
        <f t="shared" si="173"/>
        <v>788.19924549651955</v>
      </c>
      <c r="AV122" s="24">
        <f t="shared" si="173"/>
        <v>0</v>
      </c>
      <c r="AW122" s="6"/>
      <c r="AX122" s="24">
        <f>N122+W122+AF122+AO122</f>
        <v>0</v>
      </c>
      <c r="AY122" s="24">
        <f>O122+X122+AG122+AP122</f>
        <v>0</v>
      </c>
      <c r="AZ122" s="24">
        <f>P122+Y122+AH122+AQ122</f>
        <v>0</v>
      </c>
      <c r="BA122" s="24">
        <f>Q122+Z122+AI122+AR122</f>
        <v>4180.9444100394148</v>
      </c>
      <c r="BB122" s="24">
        <f>R122+AA122+AJ122+AS122</f>
        <v>13842.587748323147</v>
      </c>
      <c r="BC122" s="24">
        <f t="shared" si="169"/>
        <v>19820.544400332579</v>
      </c>
      <c r="BD122" s="24">
        <f t="shared" si="169"/>
        <v>10855.646235114282</v>
      </c>
      <c r="BE122" s="24">
        <f t="shared" si="169"/>
        <v>0</v>
      </c>
      <c r="BG122" s="21">
        <f>SUM(BG120:BG121)</f>
        <v>48699.722793809429</v>
      </c>
    </row>
    <row r="123" spans="2:61" x14ac:dyDescent="0.25">
      <c r="B123" s="8" t="s">
        <v>19</v>
      </c>
      <c r="E123" s="8"/>
      <c r="F123" s="677"/>
      <c r="G123" s="677"/>
      <c r="H123" s="677"/>
      <c r="I123" s="8"/>
      <c r="J123" s="8"/>
      <c r="K123" s="8"/>
      <c r="L123" s="8"/>
      <c r="M123" s="8"/>
      <c r="V123" s="6"/>
    </row>
    <row r="124" spans="2:61" x14ac:dyDescent="0.25">
      <c r="B124" s="146" t="s">
        <v>42</v>
      </c>
      <c r="E124" s="8"/>
      <c r="F124" s="680"/>
      <c r="G124" s="677"/>
      <c r="H124" s="677" t="s">
        <v>192</v>
      </c>
      <c r="I124" s="8"/>
      <c r="J124" s="8"/>
      <c r="K124" s="8"/>
      <c r="L124" s="8"/>
      <c r="M124" s="8"/>
      <c r="N124" s="6">
        <f>SUMIF($H$7:$H$104,$H124,N$7:N$104)+INDEX(Other_Tables!$L$40:$L$45,MATCH($H124,Other_Tables!$B$40:$B$45,0),)*(N$99+N$100)</f>
        <v>0</v>
      </c>
      <c r="O124" s="6">
        <f>SUMIF($H$7:$H$104,$H124,O$7:O$104)+INDEX(Other_Tables!$L$40:$L$45,MATCH($H124,Other_Tables!$B$40:$B$45,0),)*(O$99+O$100)</f>
        <v>0</v>
      </c>
      <c r="P124" s="6">
        <f>SUMIF($H$7:$H$104,$H124,P$7:P$104)+INDEX(Other_Tables!$L$40:$L$45,MATCH($H124,Other_Tables!$B$40:$B$45,0),)*(P$99+P$100)</f>
        <v>0</v>
      </c>
      <c r="Q124" s="6">
        <f>SUMIF($H$7:$H$104,$H124,Q$7:Q$104)+INDEX(Other_Tables!$L$40:$L$45,MATCH($H124,Other_Tables!$B$40:$B$45,0),)*(Q$99+Q$100)</f>
        <v>482.67936673512452</v>
      </c>
      <c r="R124" s="6">
        <f>SUMIF($H$7:$H$104,$H124,R$7:R$104)+INDEX(Other_Tables!$L$40:$L$45,MATCH($H124,Other_Tables!$B$40:$B$45,0),)*(R$99+R$100)</f>
        <v>2761.724213877219</v>
      </c>
      <c r="S124" s="6">
        <f>SUMIF($H$7:$H$104,$H124,S$7:S$104)+INDEX(Other_Tables!$L$40:$L$45,MATCH($H124,Other_Tables!$B$40:$B$45,0),)*(S$99+S$100)</f>
        <v>218.1239872463162</v>
      </c>
      <c r="T124" s="6">
        <f>SUMIF($H$7:$H$104,$H124,T$7:T$104)+INDEX(Other_Tables!$L$40:$L$45,MATCH($H124,Other_Tables!$B$40:$B$45,0),)*(T$99+T$100)</f>
        <v>204.53956246755516</v>
      </c>
      <c r="U124" s="6">
        <f>SUMIF($H$7:$H$104,$H124,U$7:U$104)+INDEX(Other_Tables!$L$40:$L$45,MATCH($H124,Other_Tables!$B$40:$B$45,0),)*(U$99+U$100)</f>
        <v>0</v>
      </c>
      <c r="V124" s="6"/>
      <c r="W124" s="6">
        <f>SUMIF($H$7:$H$104,$H124,W$7:W$104)+INDEX(Other_Tables!$L$40:$L$45,MATCH($H124,Other_Tables!$B$40:$B$45,0),)*(W$99+W$100)</f>
        <v>0</v>
      </c>
      <c r="X124" s="6">
        <f>SUMIF($H$7:$H$104,$H124,X$7:X$104)+INDEX(Other_Tables!$L$40:$L$45,MATCH($H124,Other_Tables!$B$40:$B$45,0),)*(X$99+X$100)</f>
        <v>0</v>
      </c>
      <c r="Y124" s="6">
        <f>SUMIF($H$7:$H$104,$H124,Y$7:Y$104)+INDEX(Other_Tables!$L$40:$L$45,MATCH($H124,Other_Tables!$B$40:$B$45,0),)*(Y$99+Y$100)</f>
        <v>0</v>
      </c>
      <c r="Z124" s="6">
        <f>SUMIF($H$7:$H$104,$H124,Z$7:Z$104)+INDEX(Other_Tables!$L$40:$L$45,MATCH($H124,Other_Tables!$B$40:$B$45,0),)*(Z$99+Z$100)</f>
        <v>199.63504774152494</v>
      </c>
      <c r="AA124" s="6">
        <f>SUMIF($H$7:$H$104,$H124,AA$7:AA$104)+INDEX(Other_Tables!$L$40:$L$45,MATCH($H124,Other_Tables!$B$40:$B$45,0),)*(AA$99+AA$100)</f>
        <v>382.89158454809501</v>
      </c>
      <c r="AB124" s="6">
        <f>SUMIF($H$7:$H$104,$H124,AB$7:AB$104)+INDEX(Other_Tables!$L$40:$L$45,MATCH($H124,Other_Tables!$B$40:$B$45,0),)*(AB$99+AB$100)</f>
        <v>358.50340772423067</v>
      </c>
      <c r="AC124" s="6">
        <f>SUMIF($H$7:$H$104,$H124,AC$7:AC$104)+INDEX(Other_Tables!$L$40:$L$45,MATCH($H124,Other_Tables!$B$40:$B$45,0),)*(AC$99+AC$100)</f>
        <v>349.67168206248789</v>
      </c>
      <c r="AD124" s="6">
        <f>SUMIF($H$7:$H$104,$H124,AD$7:AD$104)+INDEX(Other_Tables!$L$40:$L$45,MATCH($H124,Other_Tables!$B$40:$B$45,0),)*(AD$99+AD$100)</f>
        <v>0</v>
      </c>
      <c r="AE124" s="6"/>
      <c r="AF124" s="6">
        <f>SUMIF($H$7:$H$104,$H124,AF$7:AF$104)+INDEX(Other_Tables!$L$40:$L$45,MATCH($H124,Other_Tables!$B$40:$B$45,0),)*(AF$99+AF$100)</f>
        <v>0</v>
      </c>
      <c r="AG124" s="6">
        <f>SUMIF($H$7:$H$104,$H124,AG$7:AG$104)+INDEX(Other_Tables!$L$40:$L$45,MATCH($H124,Other_Tables!$B$40:$B$45,0),)*(AG$99+AG$100)</f>
        <v>0</v>
      </c>
      <c r="AH124" s="6">
        <f>SUMIF($H$7:$H$104,$H124,AH$7:AH$104)+INDEX(Other_Tables!$L$40:$L$45,MATCH($H124,Other_Tables!$B$40:$B$45,0),)*(AH$99+AH$100)</f>
        <v>0</v>
      </c>
      <c r="AI124" s="6">
        <f>SUMIF($H$7:$H$104,$H124,AI$7:AI$104)+INDEX(Other_Tables!$L$40:$L$45,MATCH($H124,Other_Tables!$B$40:$B$45,0),)*(AI$99+AI$100)</f>
        <v>727.26601369978323</v>
      </c>
      <c r="AJ124" s="6">
        <f>SUMIF($H$7:$H$104,$H124,AJ$7:AJ$104)+INDEX(Other_Tables!$L$40:$L$45,MATCH($H124,Other_Tables!$B$40:$B$45,0),)*(AJ$99+AJ$100)</f>
        <v>1576.2094794709596</v>
      </c>
      <c r="AK124" s="6">
        <f>SUMIF($H$7:$H$104,$H124,AK$7:AK$104)+INDEX(Other_Tables!$L$40:$L$45,MATCH($H124,Other_Tables!$B$40:$B$45,0),)*(AK$99+AK$100)</f>
        <v>3161.5995813661966</v>
      </c>
      <c r="AL124" s="6">
        <f>SUMIF($H$7:$H$104,$H124,AL$7:AL$104)+INDEX(Other_Tables!$L$40:$L$45,MATCH($H124,Other_Tables!$B$40:$B$45,0),)*(AL$99+AL$100)</f>
        <v>2659.4977285626164</v>
      </c>
      <c r="AM124" s="6">
        <f>SUMIF($H$7:$H$104,$H124,AM$7:AM$104)+INDEX(Other_Tables!$L$40:$L$45,MATCH($H124,Other_Tables!$B$40:$B$45,0),)*(AM$99+AM$100)</f>
        <v>0</v>
      </c>
      <c r="AN124" s="6"/>
      <c r="AO124" s="6">
        <f>SUMIF($H$7:$H$104,$H124,AO$7:AO$104)+INDEX(Other_Tables!$L$40:$L$45,MATCH($H124,Other_Tables!$B$40:$B$45,0),)*(AO$99+AO$100)</f>
        <v>0</v>
      </c>
      <c r="AP124" s="6">
        <f>SUMIF($H$7:$H$104,$H124,AP$7:AP$104)+INDEX(Other_Tables!$L$40:$L$45,MATCH($H124,Other_Tables!$B$40:$B$45,0),)*(AP$99+AP$100)</f>
        <v>0</v>
      </c>
      <c r="AQ124" s="6">
        <f>SUMIF($H$7:$H$104,$H124,AQ$7:AQ$104)+INDEX(Other_Tables!$L$40:$L$45,MATCH($H124,Other_Tables!$B$40:$B$45,0),)*(AQ$99+AQ$100)</f>
        <v>0</v>
      </c>
      <c r="AR124" s="6">
        <f>SUMIF($H$7:$H$104,$H124,AR$7:AR$104)+INDEX(Other_Tables!$L$40:$L$45,MATCH($H124,Other_Tables!$B$40:$B$45,0),)*(AR$99+AR$100)</f>
        <v>37.606745030681289</v>
      </c>
      <c r="AS124" s="6">
        <f>SUMIF($H$7:$H$104,$H124,AS$7:AS$104)+INDEX(Other_Tables!$L$40:$L$45,MATCH($H124,Other_Tables!$B$40:$B$45,0),)*(AS$99+AS$100)</f>
        <v>86.105313406002921</v>
      </c>
      <c r="AT124" s="6">
        <f>SUMIF($H$7:$H$104,$H124,AT$7:AT$104)+INDEX(Other_Tables!$L$40:$L$45,MATCH($H124,Other_Tables!$B$40:$B$45,0),)*(AT$99+AT$100)</f>
        <v>253.44534512453268</v>
      </c>
      <c r="AU124" s="6">
        <f>SUMIF($H$7:$H$104,$H124,AU$7:AU$104)+INDEX(Other_Tables!$L$40:$L$45,MATCH($H124,Other_Tables!$B$40:$B$45,0),)*(AU$99+AU$100)</f>
        <v>217.49012975164075</v>
      </c>
      <c r="AV124" s="6">
        <f>SUMIF($H$7:$H$104,$H124,AV$7:AV$104)+INDEX(Other_Tables!$L$40:$L$45,MATCH($H124,Other_Tables!$B$40:$B$45,0),)*(AV$99+AV$100)</f>
        <v>0</v>
      </c>
      <c r="AW124" s="6"/>
      <c r="AX124" s="6">
        <f t="shared" si="164"/>
        <v>0</v>
      </c>
      <c r="AY124" s="6">
        <f t="shared" si="165"/>
        <v>0</v>
      </c>
      <c r="AZ124" s="6">
        <f t="shared" si="166"/>
        <v>0</v>
      </c>
      <c r="BA124" s="6">
        <f t="shared" si="167"/>
        <v>1447.187173207114</v>
      </c>
      <c r="BB124" s="6">
        <f t="shared" si="168"/>
        <v>4806.9305913022772</v>
      </c>
      <c r="BC124" s="6">
        <f t="shared" ref="BC124:BE126" si="174">S124+AB124+AK124+AT124</f>
        <v>3991.6723214612762</v>
      </c>
      <c r="BD124" s="6">
        <f t="shared" si="174"/>
        <v>3431.1991028443003</v>
      </c>
      <c r="BE124" s="6">
        <f t="shared" si="174"/>
        <v>0</v>
      </c>
      <c r="BG124" s="14">
        <f>SUM(AX124:BE124)</f>
        <v>13676.989188814969</v>
      </c>
    </row>
    <row r="125" spans="2:61" x14ac:dyDescent="0.25">
      <c r="B125" s="146" t="s">
        <v>44</v>
      </c>
      <c r="E125" s="8"/>
      <c r="F125" s="680"/>
      <c r="G125" s="677"/>
      <c r="H125" s="677" t="s">
        <v>193</v>
      </c>
      <c r="I125" s="8"/>
      <c r="J125" s="8"/>
      <c r="K125" s="8"/>
      <c r="L125" s="8"/>
      <c r="M125" s="8"/>
      <c r="N125" s="6">
        <f>SUMIF($H$7:$H$104,$H125,N$7:N$104)+INDEX(Other_Tables!$L$40:$L$45,MATCH($H125,Other_Tables!$B$40:$B$45,0),)*(N$99+N$100)</f>
        <v>0</v>
      </c>
      <c r="O125" s="6">
        <f>SUMIF($H$7:$H$104,$H125,O$7:O$104)+INDEX(Other_Tables!$L$40:$L$45,MATCH($H125,Other_Tables!$B$40:$B$45,0),)*(O$99+O$100)</f>
        <v>0</v>
      </c>
      <c r="P125" s="6">
        <f>SUMIF($H$7:$H$104,$H125,P$7:P$104)+INDEX(Other_Tables!$L$40:$L$45,MATCH($H125,Other_Tables!$B$40:$B$45,0),)*(P$99+P$100)</f>
        <v>145.69629629629631</v>
      </c>
      <c r="Q125" s="6">
        <f>SUMIF($H$7:$H$104,$H125,Q$7:Q$104)+INDEX(Other_Tables!$L$40:$L$45,MATCH($H125,Other_Tables!$B$40:$B$45,0),)*(Q$99+Q$100)</f>
        <v>463.42160462288314</v>
      </c>
      <c r="R125" s="6">
        <f>SUMIF($H$7:$H$104,$H125,R$7:R$104)+INDEX(Other_Tables!$L$40:$L$45,MATCH($H125,Other_Tables!$B$40:$B$45,0),)*(R$99+R$100)</f>
        <v>2288.6999049915762</v>
      </c>
      <c r="S125" s="6">
        <f>SUMIF($H$7:$H$104,$H125,S$7:S$104)+INDEX(Other_Tables!$L$40:$L$45,MATCH($H125,Other_Tables!$B$40:$B$45,0),)*(S$99+S$100)</f>
        <v>1396.7094786420898</v>
      </c>
      <c r="T125" s="6">
        <f>SUMIF($H$7:$H$104,$H125,T$7:T$104)+INDEX(Other_Tables!$L$40:$L$45,MATCH($H125,Other_Tables!$B$40:$B$45,0),)*(T$99+T$100)</f>
        <v>1068.022236346746</v>
      </c>
      <c r="U125" s="6">
        <f>SUMIF($H$7:$H$104,$H125,U$7:U$104)+INDEX(Other_Tables!$L$40:$L$45,MATCH($H125,Other_Tables!$B$40:$B$45,0),)*(U$99+U$100)</f>
        <v>0</v>
      </c>
      <c r="V125" s="6"/>
      <c r="W125" s="6">
        <f>SUMIF($H$7:$H$104,$H125,W$7:W$104)+INDEX(Other_Tables!$L$40:$L$45,MATCH($H125,Other_Tables!$B$40:$B$45,0),)*(W$99+W$100)</f>
        <v>0</v>
      </c>
      <c r="X125" s="6">
        <f>SUMIF($H$7:$H$104,$H125,X$7:X$104)+INDEX(Other_Tables!$L$40:$L$45,MATCH($H125,Other_Tables!$B$40:$B$45,0),)*(X$99+X$100)</f>
        <v>0</v>
      </c>
      <c r="Y125" s="6">
        <f>SUMIF($H$7:$H$104,$H125,Y$7:Y$104)+INDEX(Other_Tables!$L$40:$L$45,MATCH($H125,Other_Tables!$B$40:$B$45,0),)*(Y$99+Y$100)</f>
        <v>11.65185185185185</v>
      </c>
      <c r="Z125" s="6">
        <f>SUMIF($H$7:$H$104,$H125,Z$7:Z$104)+INDEX(Other_Tables!$L$40:$L$45,MATCH($H125,Other_Tables!$B$40:$B$45,0),)*(Z$99+Z$100)</f>
        <v>299.6631787510409</v>
      </c>
      <c r="AA125" s="6">
        <f>SUMIF($H$7:$H$104,$H125,AA$7:AA$104)+INDEX(Other_Tables!$L$40:$L$45,MATCH($H125,Other_Tables!$B$40:$B$45,0),)*(AA$99+AA$100)</f>
        <v>377.66262403912964</v>
      </c>
      <c r="AB125" s="6">
        <f>SUMIF($H$7:$H$104,$H125,AB$7:AB$104)+INDEX(Other_Tables!$L$40:$L$45,MATCH($H125,Other_Tables!$B$40:$B$45,0),)*(AB$99+AB$100)</f>
        <v>844.17607847011709</v>
      </c>
      <c r="AC125" s="6">
        <f>SUMIF($H$7:$H$104,$H125,AC$7:AC$104)+INDEX(Other_Tables!$L$40:$L$45,MATCH($H125,Other_Tables!$B$40:$B$45,0),)*(AC$99+AC$100)</f>
        <v>740.6792933715692</v>
      </c>
      <c r="AD125" s="6">
        <f>SUMIF($H$7:$H$104,$H125,AD$7:AD$104)+INDEX(Other_Tables!$L$40:$L$45,MATCH($H125,Other_Tables!$B$40:$B$45,0),)*(AD$99+AD$100)</f>
        <v>0</v>
      </c>
      <c r="AE125" s="6"/>
      <c r="AF125" s="6">
        <f>SUMIF($H$7:$H$104,$H125,AF$7:AF$104)+INDEX(Other_Tables!$L$40:$L$45,MATCH($H125,Other_Tables!$B$40:$B$45,0),)*(AF$99+AF$100)</f>
        <v>0</v>
      </c>
      <c r="AG125" s="6">
        <f>SUMIF($H$7:$H$104,$H125,AG$7:AG$104)+INDEX(Other_Tables!$L$40:$L$45,MATCH($H125,Other_Tables!$B$40:$B$45,0),)*(AG$99+AG$100)</f>
        <v>0</v>
      </c>
      <c r="AH125" s="6">
        <f>SUMIF($H$7:$H$104,$H125,AH$7:AH$104)+INDEX(Other_Tables!$L$40:$L$45,MATCH($H125,Other_Tables!$B$40:$B$45,0),)*(AH$99+AH$100)</f>
        <v>68.948148148148135</v>
      </c>
      <c r="AI125" s="6">
        <f>SUMIF($H$7:$H$104,$H125,AI$7:AI$104)+INDEX(Other_Tables!$L$40:$L$45,MATCH($H125,Other_Tables!$B$40:$B$45,0),)*(AI$99+AI$100)</f>
        <v>742.39541463831915</v>
      </c>
      <c r="AJ125" s="6">
        <f>SUMIF($H$7:$H$104,$H125,AJ$7:AJ$104)+INDEX(Other_Tables!$L$40:$L$45,MATCH($H125,Other_Tables!$B$40:$B$45,0),)*(AJ$99+AJ$100)</f>
        <v>975.05281039291015</v>
      </c>
      <c r="AK125" s="6">
        <f>SUMIF($H$7:$H$104,$H125,AK$7:AK$104)+INDEX(Other_Tables!$L$40:$L$45,MATCH($H125,Other_Tables!$B$40:$B$45,0),)*(AK$99+AK$100)</f>
        <v>5806.7607036604877</v>
      </c>
      <c r="AL125" s="6">
        <f>SUMIF($H$7:$H$104,$H125,AL$7:AL$104)+INDEX(Other_Tables!$L$40:$L$45,MATCH($H125,Other_Tables!$B$40:$B$45,0),)*(AL$99+AL$100)</f>
        <v>4871.0689931645966</v>
      </c>
      <c r="AM125" s="6">
        <f>SUMIF($H$7:$H$104,$H125,AM$7:AM$104)+INDEX(Other_Tables!$L$40:$L$45,MATCH($H125,Other_Tables!$B$40:$B$45,0),)*(AM$99+AM$100)</f>
        <v>0</v>
      </c>
      <c r="AN125" s="6"/>
      <c r="AO125" s="6">
        <f>SUMIF($H$7:$H$104,$H125,AO$7:AO$104)+INDEX(Other_Tables!$L$40:$L$45,MATCH($H125,Other_Tables!$B$40:$B$45,0),)*(AO$99+AO$100)</f>
        <v>0</v>
      </c>
      <c r="AP125" s="6">
        <f>SUMIF($H$7:$H$104,$H125,AP$7:AP$104)+INDEX(Other_Tables!$L$40:$L$45,MATCH($H125,Other_Tables!$B$40:$B$45,0),)*(AP$99+AP$100)</f>
        <v>0</v>
      </c>
      <c r="AQ125" s="6">
        <f>SUMIF($H$7:$H$104,$H125,AQ$7:AQ$104)+INDEX(Other_Tables!$L$40:$L$45,MATCH($H125,Other_Tables!$B$40:$B$45,0),)*(AQ$99+AQ$100)</f>
        <v>0</v>
      </c>
      <c r="AR125" s="6">
        <f>SUMIF($H$7:$H$104,$H125,AR$7:AR$104)+INDEX(Other_Tables!$L$40:$L$45,MATCH($H125,Other_Tables!$B$40:$B$45,0),)*(AR$99+AR$100)</f>
        <v>12.543353002429708</v>
      </c>
      <c r="AS125" s="6">
        <f>SUMIF($H$7:$H$104,$H125,AS$7:AS$104)+INDEX(Other_Tables!$L$40:$L$45,MATCH($H125,Other_Tables!$B$40:$B$45,0),)*(AS$99+AS$100)</f>
        <v>25.086706004859415</v>
      </c>
      <c r="AT125" s="6">
        <f>SUMIF($H$7:$H$104,$H125,AT$7:AT$104)+INDEX(Other_Tables!$L$40:$L$45,MATCH($H125,Other_Tables!$B$40:$B$45,0),)*(AT$99+AT$100)</f>
        <v>65.852603262755963</v>
      </c>
      <c r="AU125" s="6">
        <f>SUMIF($H$7:$H$104,$H125,AU$7:AU$104)+INDEX(Other_Tables!$L$40:$L$45,MATCH($H125,Other_Tables!$B$40:$B$45,0),)*(AU$99+AU$100)</f>
        <v>53.309250260326259</v>
      </c>
      <c r="AV125" s="6">
        <f>SUMIF($H$7:$H$104,$H125,AV$7:AV$104)+INDEX(Other_Tables!$L$40:$L$45,MATCH($H125,Other_Tables!$B$40:$B$45,0),)*(AV$99+AV$100)</f>
        <v>0</v>
      </c>
      <c r="AW125" s="6"/>
      <c r="AX125" s="6">
        <f t="shared" si="164"/>
        <v>0</v>
      </c>
      <c r="AY125" s="6">
        <f t="shared" si="165"/>
        <v>0</v>
      </c>
      <c r="AZ125" s="6">
        <f t="shared" si="166"/>
        <v>226.2962962962963</v>
      </c>
      <c r="BA125" s="6">
        <f t="shared" si="167"/>
        <v>1518.0235510146729</v>
      </c>
      <c r="BB125" s="6">
        <f t="shared" si="168"/>
        <v>3666.5020454284754</v>
      </c>
      <c r="BC125" s="6">
        <f t="shared" si="174"/>
        <v>8113.4988640354504</v>
      </c>
      <c r="BD125" s="6">
        <f t="shared" si="174"/>
        <v>6733.0797731432376</v>
      </c>
      <c r="BE125" s="6">
        <f t="shared" si="174"/>
        <v>0</v>
      </c>
      <c r="BG125" s="14">
        <f>SUM(AX125:BE125)</f>
        <v>20257.40052991813</v>
      </c>
    </row>
    <row r="126" spans="2:61" x14ac:dyDescent="0.25">
      <c r="B126" s="146" t="s">
        <v>118</v>
      </c>
      <c r="E126" s="8"/>
      <c r="F126" s="680"/>
      <c r="G126" s="677"/>
      <c r="H126" s="677"/>
      <c r="I126" s="8"/>
      <c r="J126" s="8"/>
      <c r="K126" s="8"/>
      <c r="L126" s="8"/>
      <c r="M126" s="8"/>
      <c r="N126" s="24">
        <f t="shared" ref="N126:U126" si="175">SUM(N124:N125)</f>
        <v>0</v>
      </c>
      <c r="O126" s="24">
        <f t="shared" si="175"/>
        <v>0</v>
      </c>
      <c r="P126" s="24">
        <f t="shared" si="175"/>
        <v>145.69629629629631</v>
      </c>
      <c r="Q126" s="24">
        <f t="shared" si="175"/>
        <v>946.10097135800765</v>
      </c>
      <c r="R126" s="24">
        <f t="shared" si="175"/>
        <v>5050.4241188687956</v>
      </c>
      <c r="S126" s="24">
        <f t="shared" si="175"/>
        <v>1614.833465888406</v>
      </c>
      <c r="T126" s="24">
        <f t="shared" si="175"/>
        <v>1272.5617988143013</v>
      </c>
      <c r="U126" s="24">
        <f t="shared" si="175"/>
        <v>0</v>
      </c>
      <c r="V126" s="6"/>
      <c r="W126" s="24">
        <f t="shared" ref="W126:AD126" si="176">SUM(W124:W125)</f>
        <v>0</v>
      </c>
      <c r="X126" s="24">
        <f t="shared" si="176"/>
        <v>0</v>
      </c>
      <c r="Y126" s="24">
        <f t="shared" si="176"/>
        <v>11.65185185185185</v>
      </c>
      <c r="Z126" s="24">
        <f t="shared" si="176"/>
        <v>499.29822649256585</v>
      </c>
      <c r="AA126" s="24">
        <f t="shared" si="176"/>
        <v>760.55420858722459</v>
      </c>
      <c r="AB126" s="24">
        <f t="shared" si="176"/>
        <v>1202.6794861943476</v>
      </c>
      <c r="AC126" s="24">
        <f t="shared" si="176"/>
        <v>1090.3509754340571</v>
      </c>
      <c r="AD126" s="24">
        <f t="shared" si="176"/>
        <v>0</v>
      </c>
      <c r="AE126" s="6"/>
      <c r="AF126" s="24">
        <f t="shared" ref="AF126:AM126" si="177">SUM(AF124:AF125)</f>
        <v>0</v>
      </c>
      <c r="AG126" s="24">
        <f t="shared" si="177"/>
        <v>0</v>
      </c>
      <c r="AH126" s="24">
        <f t="shared" si="177"/>
        <v>68.948148148148135</v>
      </c>
      <c r="AI126" s="24">
        <f t="shared" si="177"/>
        <v>1469.6614283381023</v>
      </c>
      <c r="AJ126" s="24">
        <f t="shared" si="177"/>
        <v>2551.2622898638697</v>
      </c>
      <c r="AK126" s="24">
        <f t="shared" si="177"/>
        <v>8968.3602850266834</v>
      </c>
      <c r="AL126" s="24">
        <f t="shared" si="177"/>
        <v>7530.566721727213</v>
      </c>
      <c r="AM126" s="24">
        <f t="shared" si="177"/>
        <v>0</v>
      </c>
      <c r="AN126" s="6"/>
      <c r="AO126" s="24">
        <f t="shared" ref="AO126:AV126" si="178">SUM(AO124:AO125)</f>
        <v>0</v>
      </c>
      <c r="AP126" s="24">
        <f t="shared" si="178"/>
        <v>0</v>
      </c>
      <c r="AQ126" s="24">
        <f t="shared" si="178"/>
        <v>0</v>
      </c>
      <c r="AR126" s="24">
        <f t="shared" si="178"/>
        <v>50.150098033110993</v>
      </c>
      <c r="AS126" s="24">
        <f t="shared" si="178"/>
        <v>111.19201941086234</v>
      </c>
      <c r="AT126" s="24">
        <f t="shared" si="178"/>
        <v>319.29794838728867</v>
      </c>
      <c r="AU126" s="24">
        <f t="shared" si="178"/>
        <v>270.799380011967</v>
      </c>
      <c r="AV126" s="24">
        <f t="shared" si="178"/>
        <v>0</v>
      </c>
      <c r="AW126" s="6"/>
      <c r="AX126" s="24">
        <f>N126+W126+AF126+AO126</f>
        <v>0</v>
      </c>
      <c r="AY126" s="24">
        <f>O126+X126+AG126+AP126</f>
        <v>0</v>
      </c>
      <c r="AZ126" s="24">
        <f>P126+Y126+AH126+AQ126</f>
        <v>226.2962962962963</v>
      </c>
      <c r="BA126" s="24">
        <f>Q126+Z126+AI126+AR126</f>
        <v>2965.2107242217871</v>
      </c>
      <c r="BB126" s="24">
        <f>R126+AA126+AJ126+AS126</f>
        <v>8473.4326367307531</v>
      </c>
      <c r="BC126" s="24">
        <f t="shared" si="174"/>
        <v>12105.171185496725</v>
      </c>
      <c r="BD126" s="24">
        <f t="shared" si="174"/>
        <v>10164.278875987538</v>
      </c>
      <c r="BE126" s="24">
        <f t="shared" si="174"/>
        <v>0</v>
      </c>
      <c r="BG126" s="21">
        <f>SUM(BG124:BG125)</f>
        <v>33934.389718733102</v>
      </c>
    </row>
    <row r="127" spans="2:61" x14ac:dyDescent="0.25">
      <c r="B127" s="8" t="s">
        <v>22</v>
      </c>
      <c r="E127" s="8"/>
      <c r="F127" s="677"/>
      <c r="G127" s="677"/>
      <c r="H127" s="677"/>
      <c r="I127" s="8"/>
      <c r="J127" s="8"/>
      <c r="K127" s="8"/>
      <c r="L127" s="8"/>
      <c r="M127" s="8"/>
      <c r="V127" s="6"/>
    </row>
    <row r="128" spans="2:61" x14ac:dyDescent="0.25">
      <c r="B128" s="146" t="s">
        <v>42</v>
      </c>
      <c r="E128" s="8"/>
      <c r="F128" s="680"/>
      <c r="G128" s="677"/>
      <c r="H128" s="677" t="s">
        <v>196</v>
      </c>
      <c r="I128" s="8"/>
      <c r="J128" s="8"/>
      <c r="K128" s="8"/>
      <c r="L128" s="8"/>
      <c r="M128" s="8"/>
      <c r="N128" s="6">
        <f>SUMIF($H$7:$H$104,$H128,N$7:N$104)+INDEX(Other_Tables!$L$40:$L$45,MATCH($H128,Other_Tables!$B$40:$B$45,0),)*(N$99+N$100)</f>
        <v>0</v>
      </c>
      <c r="O128" s="6">
        <f>SUMIF($H$7:$H$104,$H128,O$7:O$104)+INDEX(Other_Tables!$L$40:$L$45,MATCH($H128,Other_Tables!$B$40:$B$45,0),)*(O$99+O$100)</f>
        <v>0</v>
      </c>
      <c r="P128" s="6">
        <f>SUMIF($H$7:$H$104,$H128,P$7:P$104)+INDEX(Other_Tables!$L$40:$L$45,MATCH($H128,Other_Tables!$B$40:$B$45,0),)*(P$99+P$100)</f>
        <v>0</v>
      </c>
      <c r="Q128" s="6">
        <f>SUMIF($H$7:$H$104,$H128,Q$7:Q$104)+INDEX(Other_Tables!$L$40:$L$45,MATCH($H128,Other_Tables!$B$40:$B$45,0),)*(Q$99+Q$100)</f>
        <v>717.58407833162187</v>
      </c>
      <c r="R128" s="6">
        <f>SUMIF($H$7:$H$104,$H128,R$7:R$104)+INDEX(Other_Tables!$L$40:$L$45,MATCH($H128,Other_Tables!$B$40:$B$45,0),)*(R$99+R$100)</f>
        <v>2551.7701341470574</v>
      </c>
      <c r="S128" s="6">
        <f>SUMIF($H$7:$H$104,$H128,S$7:S$104)+INDEX(Other_Tables!$L$40:$L$45,MATCH($H128,Other_Tables!$B$40:$B$45,0),)*(S$99+S$100)</f>
        <v>4510.4822271306157</v>
      </c>
      <c r="T128" s="6">
        <f>SUMIF($H$7:$H$104,$H128,T$7:T$104)+INDEX(Other_Tables!$L$40:$L$45,MATCH($H128,Other_Tables!$B$40:$B$45,0),)*(T$99+T$100)</f>
        <v>2249.1627173172246</v>
      </c>
      <c r="U128" s="6">
        <f>SUMIF($H$7:$H$104,$H128,U$7:U$104)+INDEX(Other_Tables!$L$40:$L$45,MATCH($H128,Other_Tables!$B$40:$B$45,0),)*(U$99+U$100)</f>
        <v>0</v>
      </c>
      <c r="V128" s="6"/>
      <c r="W128" s="6">
        <f>SUMIF($H$7:$H$104,$H128,W$7:W$104)+INDEX(Other_Tables!$L$40:$L$45,MATCH($H128,Other_Tables!$B$40:$B$45,0),)*(W$99+W$100)</f>
        <v>0</v>
      </c>
      <c r="X128" s="6">
        <f>SUMIF($H$7:$H$104,$H128,X$7:X$104)+INDEX(Other_Tables!$L$40:$L$45,MATCH($H128,Other_Tables!$B$40:$B$45,0),)*(X$99+X$100)</f>
        <v>0</v>
      </c>
      <c r="Y128" s="6">
        <f>SUMIF($H$7:$H$104,$H128,Y$7:Y$104)+INDEX(Other_Tables!$L$40:$L$45,MATCH($H128,Other_Tables!$B$40:$B$45,0),)*(Y$99+Y$100)</f>
        <v>0</v>
      </c>
      <c r="Z128" s="6">
        <f>SUMIF($H$7:$H$104,$H128,Z$7:Z$104)+INDEX(Other_Tables!$L$40:$L$45,MATCH($H128,Other_Tables!$B$40:$B$45,0),)*(Z$99+Z$100)</f>
        <v>328.80054665094349</v>
      </c>
      <c r="AA128" s="6">
        <f>SUMIF($H$7:$H$104,$H128,AA$7:AA$104)+INDEX(Other_Tables!$L$40:$L$45,MATCH($H128,Other_Tables!$B$40:$B$45,0),)*(AA$99+AA$100)</f>
        <v>436.38398184747405</v>
      </c>
      <c r="AB128" s="6">
        <f>SUMIF($H$7:$H$104,$H128,AB$7:AB$104)+INDEX(Other_Tables!$L$40:$L$45,MATCH($H128,Other_Tables!$B$40:$B$45,0),)*(AB$99+AB$100)</f>
        <v>756.35189402247511</v>
      </c>
      <c r="AC128" s="6">
        <f>SUMIF($H$7:$H$104,$H128,AC$7:AC$104)+INDEX(Other_Tables!$L$40:$L$45,MATCH($H128,Other_Tables!$B$40:$B$45,0),)*(AC$99+AC$100)</f>
        <v>332.19595675949216</v>
      </c>
      <c r="AD128" s="6">
        <f>SUMIF($H$7:$H$104,$H128,AD$7:AD$104)+INDEX(Other_Tables!$L$40:$L$45,MATCH($H128,Other_Tables!$B$40:$B$45,0),)*(AD$99+AD$100)</f>
        <v>0</v>
      </c>
      <c r="AE128" s="6"/>
      <c r="AF128" s="6">
        <f>SUMIF($H$7:$H$104,$H128,AF$7:AF$104)+INDEX(Other_Tables!$L$40:$L$45,MATCH($H128,Other_Tables!$B$40:$B$45,0),)*(AF$99+AF$100)</f>
        <v>0</v>
      </c>
      <c r="AG128" s="6">
        <f>SUMIF($H$7:$H$104,$H128,AG$7:AG$104)+INDEX(Other_Tables!$L$40:$L$45,MATCH($H128,Other_Tables!$B$40:$B$45,0),)*(AG$99+AG$100)</f>
        <v>0</v>
      </c>
      <c r="AH128" s="6">
        <f>SUMIF($H$7:$H$104,$H128,AH$7:AH$104)+INDEX(Other_Tables!$L$40:$L$45,MATCH($H128,Other_Tables!$B$40:$B$45,0),)*(AH$99+AH$100)</f>
        <v>0</v>
      </c>
      <c r="AI128" s="6">
        <f>SUMIF($H$7:$H$104,$H128,AI$7:AI$104)+INDEX(Other_Tables!$L$40:$L$45,MATCH($H128,Other_Tables!$B$40:$B$45,0),)*(AI$99+AI$100)</f>
        <v>864.58660346545503</v>
      </c>
      <c r="AJ128" s="6">
        <f>SUMIF($H$7:$H$104,$H128,AJ$7:AJ$104)+INDEX(Other_Tables!$L$40:$L$45,MATCH($H128,Other_Tables!$B$40:$B$45,0),)*(AJ$99+AJ$100)</f>
        <v>1909.3787878362987</v>
      </c>
      <c r="AK128" s="6">
        <f>SUMIF($H$7:$H$104,$H128,AK$7:AK$104)+INDEX(Other_Tables!$L$40:$L$45,MATCH($H128,Other_Tables!$B$40:$B$45,0),)*(AK$99+AK$100)</f>
        <v>1507.5647988919295</v>
      </c>
      <c r="AL128" s="6">
        <f>SUMIF($H$7:$H$104,$H128,AL$7:AL$104)+INDEX(Other_Tables!$L$40:$L$45,MATCH($H128,Other_Tables!$B$40:$B$45,0),)*(AL$99+AL$100)</f>
        <v>810.93256237526646</v>
      </c>
      <c r="AM128" s="6">
        <f>SUMIF($H$7:$H$104,$H128,AM$7:AM$104)+INDEX(Other_Tables!$L$40:$L$45,MATCH($H128,Other_Tables!$B$40:$B$45,0),)*(AM$99+AM$100)</f>
        <v>0</v>
      </c>
      <c r="AN128" s="6"/>
      <c r="AO128" s="6">
        <f>SUMIF($H$7:$H$104,$H128,AO$7:AO$104)+INDEX(Other_Tables!$L$40:$L$45,MATCH($H128,Other_Tables!$B$40:$B$45,0),)*(AO$99+AO$100)</f>
        <v>0</v>
      </c>
      <c r="AP128" s="6">
        <f>SUMIF($H$7:$H$104,$H128,AP$7:AP$104)+INDEX(Other_Tables!$L$40:$L$45,MATCH($H128,Other_Tables!$B$40:$B$45,0),)*(AP$99+AP$100)</f>
        <v>0</v>
      </c>
      <c r="AQ128" s="6">
        <f>SUMIF($H$7:$H$104,$H128,AQ$7:AQ$104)+INDEX(Other_Tables!$L$40:$L$45,MATCH($H128,Other_Tables!$B$40:$B$45,0),)*(AQ$99+AQ$100)</f>
        <v>0</v>
      </c>
      <c r="AR128" s="6">
        <f>SUMIF($H$7:$H$104,$H128,AR$7:AR$104)+INDEX(Other_Tables!$L$40:$L$45,MATCH($H128,Other_Tables!$B$40:$B$45,0),)*(AR$99+AR$100)</f>
        <v>1.2198567447318238</v>
      </c>
      <c r="AS128" s="6">
        <f>SUMIF($H$7:$H$104,$H128,AS$7:AS$104)+INDEX(Other_Tables!$L$40:$L$45,MATCH($H128,Other_Tables!$B$40:$B$45,0),)*(AS$99+AS$100)</f>
        <v>4.9035043053200473</v>
      </c>
      <c r="AT128" s="6">
        <f>SUMIF($H$7:$H$104,$H128,AT$7:AT$104)+INDEX(Other_Tables!$L$40:$L$45,MATCH($H128,Other_Tables!$B$40:$B$45,0),)*(AT$99+AT$100)</f>
        <v>130.54227223206428</v>
      </c>
      <c r="AU128" s="6">
        <f>SUMIF($H$7:$H$104,$H128,AU$7:AU$104)+INDEX(Other_Tables!$L$40:$L$45,MATCH($H128,Other_Tables!$B$40:$B$45,0),)*(AU$99+AU$100)</f>
        <v>124.89854935437782</v>
      </c>
      <c r="AV128" s="6">
        <f>SUMIF($H$7:$H$104,$H128,AV$7:AV$104)+INDEX(Other_Tables!$L$40:$L$45,MATCH($H128,Other_Tables!$B$40:$B$45,0),)*(AV$99+AV$100)</f>
        <v>0</v>
      </c>
      <c r="AW128" s="6"/>
      <c r="AX128" s="6">
        <f t="shared" si="164"/>
        <v>0</v>
      </c>
      <c r="AY128" s="6">
        <f t="shared" si="165"/>
        <v>0</v>
      </c>
      <c r="AZ128" s="6">
        <f t="shared" si="166"/>
        <v>0</v>
      </c>
      <c r="BA128" s="6">
        <f t="shared" si="167"/>
        <v>1912.1910851927521</v>
      </c>
      <c r="BB128" s="6">
        <f t="shared" si="168"/>
        <v>4902.43640813615</v>
      </c>
      <c r="BC128" s="6">
        <f t="shared" ref="BC128:BE130" si="179">S128+AB128+AK128+AT128</f>
        <v>6904.9411922770842</v>
      </c>
      <c r="BD128" s="6">
        <f t="shared" si="179"/>
        <v>3517.1897858063612</v>
      </c>
      <c r="BE128" s="6">
        <f t="shared" si="179"/>
        <v>0</v>
      </c>
      <c r="BG128" s="14">
        <f>SUM(AX128:BE128)</f>
        <v>17236.758471412348</v>
      </c>
    </row>
    <row r="129" spans="2:59" x14ac:dyDescent="0.25">
      <c r="B129" s="146" t="s">
        <v>44</v>
      </c>
      <c r="E129" s="8"/>
      <c r="F129" s="680"/>
      <c r="G129" s="677"/>
      <c r="H129" s="677" t="s">
        <v>195</v>
      </c>
      <c r="I129" s="8"/>
      <c r="J129" s="8"/>
      <c r="K129" s="8"/>
      <c r="L129" s="8"/>
      <c r="M129" s="8"/>
      <c r="N129" s="6">
        <f>SUMIF($H$7:$H$104,$H129,N$7:N$104)+INDEX(Other_Tables!$L$40:$L$45,MATCH($H129,Other_Tables!$B$40:$B$45,0),)*(N$99+N$100)</f>
        <v>0</v>
      </c>
      <c r="O129" s="6">
        <f>SUMIF($H$7:$H$104,$H129,O$7:O$104)+INDEX(Other_Tables!$L$40:$L$45,MATCH($H129,Other_Tables!$B$40:$B$45,0),)*(O$99+O$100)</f>
        <v>0</v>
      </c>
      <c r="P129" s="6">
        <f>SUMIF($H$7:$H$104,$H129,P$7:P$104)+INDEX(Other_Tables!$L$40:$L$45,MATCH($H129,Other_Tables!$B$40:$B$45,0),)*(P$99+P$100)</f>
        <v>0</v>
      </c>
      <c r="Q129" s="6">
        <f>SUMIF($H$7:$H$104,$H129,Q$7:Q$104)+INDEX(Other_Tables!$L$40:$L$45,MATCH($H129,Other_Tables!$B$40:$B$45,0),)*(Q$99+Q$100)</f>
        <v>0</v>
      </c>
      <c r="R129" s="6">
        <f>SUMIF($H$7:$H$104,$H129,R$7:R$104)+INDEX(Other_Tables!$L$40:$L$45,MATCH($H129,Other_Tables!$B$40:$B$45,0),)*(R$99+R$100)</f>
        <v>0</v>
      </c>
      <c r="S129" s="6">
        <f>SUMIF($H$7:$H$104,$H129,S$7:S$104)+INDEX(Other_Tables!$L$40:$L$45,MATCH($H129,Other_Tables!$B$40:$B$45,0),)*(S$99+S$100)</f>
        <v>0</v>
      </c>
      <c r="T129" s="6">
        <f>SUMIF($H$7:$H$104,$H129,T$7:T$104)+INDEX(Other_Tables!$L$40:$L$45,MATCH($H129,Other_Tables!$B$40:$B$45,0),)*(T$99+T$100)</f>
        <v>0</v>
      </c>
      <c r="U129" s="6">
        <f>SUMIF($H$7:$H$104,$H129,U$7:U$104)+INDEX(Other_Tables!$L$40:$L$45,MATCH($H129,Other_Tables!$B$40:$B$45,0),)*(U$99+U$100)</f>
        <v>0</v>
      </c>
      <c r="V129" s="6"/>
      <c r="W129" s="6">
        <f>SUMIF($H$7:$H$104,$H129,W$7:W$104)+INDEX(Other_Tables!$L$40:$L$45,MATCH($H129,Other_Tables!$B$40:$B$45,0),)*(W$99+W$100)</f>
        <v>0</v>
      </c>
      <c r="X129" s="6">
        <f>SUMIF($H$7:$H$104,$H129,X$7:X$104)+INDEX(Other_Tables!$L$40:$L$45,MATCH($H129,Other_Tables!$B$40:$B$45,0),)*(X$99+X$100)</f>
        <v>0</v>
      </c>
      <c r="Y129" s="6">
        <f>SUMIF($H$7:$H$104,$H129,Y$7:Y$104)+INDEX(Other_Tables!$L$40:$L$45,MATCH($H129,Other_Tables!$B$40:$B$45,0),)*(Y$99+Y$100)</f>
        <v>0</v>
      </c>
      <c r="Z129" s="6">
        <f>SUMIF($H$7:$H$104,$H129,Z$7:Z$104)+INDEX(Other_Tables!$L$40:$L$45,MATCH($H129,Other_Tables!$B$40:$B$45,0),)*(Z$99+Z$100)</f>
        <v>0</v>
      </c>
      <c r="AA129" s="6">
        <f>SUMIF($H$7:$H$104,$H129,AA$7:AA$104)+INDEX(Other_Tables!$L$40:$L$45,MATCH($H129,Other_Tables!$B$40:$B$45,0),)*(AA$99+AA$100)</f>
        <v>0</v>
      </c>
      <c r="AB129" s="6">
        <f>SUMIF($H$7:$H$104,$H129,AB$7:AB$104)+INDEX(Other_Tables!$L$40:$L$45,MATCH($H129,Other_Tables!$B$40:$B$45,0),)*(AB$99+AB$100)</f>
        <v>0</v>
      </c>
      <c r="AC129" s="6">
        <f>SUMIF($H$7:$H$104,$H129,AC$7:AC$104)+INDEX(Other_Tables!$L$40:$L$45,MATCH($H129,Other_Tables!$B$40:$B$45,0),)*(AC$99+AC$100)</f>
        <v>0</v>
      </c>
      <c r="AD129" s="6">
        <f>SUMIF($H$7:$H$104,$H129,AD$7:AD$104)+INDEX(Other_Tables!$L$40:$L$45,MATCH($H129,Other_Tables!$B$40:$B$45,0),)*(AD$99+AD$100)</f>
        <v>0</v>
      </c>
      <c r="AE129" s="6"/>
      <c r="AF129" s="6">
        <f>SUMIF($H$7:$H$104,$H129,AF$7:AF$104)+INDEX(Other_Tables!$L$40:$L$45,MATCH($H129,Other_Tables!$B$40:$B$45,0),)*(AF$99+AF$100)</f>
        <v>0</v>
      </c>
      <c r="AG129" s="6">
        <f>SUMIF($H$7:$H$104,$H129,AG$7:AG$104)+INDEX(Other_Tables!$L$40:$L$45,MATCH($H129,Other_Tables!$B$40:$B$45,0),)*(AG$99+AG$100)</f>
        <v>0</v>
      </c>
      <c r="AH129" s="6">
        <f>SUMIF($H$7:$H$104,$H129,AH$7:AH$104)+INDEX(Other_Tables!$L$40:$L$45,MATCH($H129,Other_Tables!$B$40:$B$45,0),)*(AH$99+AH$100)</f>
        <v>0</v>
      </c>
      <c r="AI129" s="6">
        <f>SUMIF($H$7:$H$104,$H129,AI$7:AI$104)+INDEX(Other_Tables!$L$40:$L$45,MATCH($H129,Other_Tables!$B$40:$B$45,0),)*(AI$99+AI$100)</f>
        <v>0</v>
      </c>
      <c r="AJ129" s="6">
        <f>SUMIF($H$7:$H$104,$H129,AJ$7:AJ$104)+INDEX(Other_Tables!$L$40:$L$45,MATCH($H129,Other_Tables!$B$40:$B$45,0),)*(AJ$99+AJ$100)</f>
        <v>8.1160022148394226</v>
      </c>
      <c r="AK129" s="6">
        <f>SUMIF($H$7:$H$104,$H129,AK$7:AK$104)+INDEX(Other_Tables!$L$40:$L$45,MATCH($H129,Other_Tables!$B$40:$B$45,0),)*(AK$99+AK$100)</f>
        <v>69.797619047619037</v>
      </c>
      <c r="AL129" s="6">
        <f>SUMIF($H$7:$H$104,$H129,AL$7:AL$104)+INDEX(Other_Tables!$L$40:$L$45,MATCH($H129,Other_Tables!$B$40:$B$45,0),)*(AL$99+AL$100)</f>
        <v>45.449612403100765</v>
      </c>
      <c r="AM129" s="6">
        <f>SUMIF($H$7:$H$104,$H129,AM$7:AM$104)+INDEX(Other_Tables!$L$40:$L$45,MATCH($H129,Other_Tables!$B$40:$B$45,0),)*(AM$99+AM$100)</f>
        <v>0</v>
      </c>
      <c r="AN129" s="6"/>
      <c r="AO129" s="6">
        <f>SUMIF($H$7:$H$104,$H129,AO$7:AO$104)+INDEX(Other_Tables!$L$40:$L$45,MATCH($H129,Other_Tables!$B$40:$B$45,0),)*(AO$99+AO$100)</f>
        <v>0</v>
      </c>
      <c r="AP129" s="6">
        <f>SUMIF($H$7:$H$104,$H129,AP$7:AP$104)+INDEX(Other_Tables!$L$40:$L$45,MATCH($H129,Other_Tables!$B$40:$B$45,0),)*(AP$99+AP$100)</f>
        <v>0</v>
      </c>
      <c r="AQ129" s="6">
        <f>SUMIF($H$7:$H$104,$H129,AQ$7:AQ$104)+INDEX(Other_Tables!$L$40:$L$45,MATCH($H129,Other_Tables!$B$40:$B$45,0),)*(AQ$99+AQ$100)</f>
        <v>0</v>
      </c>
      <c r="AR129" s="6">
        <f>SUMIF($H$7:$H$104,$H129,AR$7:AR$104)+INDEX(Other_Tables!$L$40:$L$45,MATCH($H129,Other_Tables!$B$40:$B$45,0),)*(AR$99+AR$100)</f>
        <v>0</v>
      </c>
      <c r="AS129" s="6">
        <f>SUMIF($H$7:$H$104,$H129,AS$7:AS$104)+INDEX(Other_Tables!$L$40:$L$45,MATCH($H129,Other_Tables!$B$40:$B$45,0),)*(AS$99+AS$100)</f>
        <v>0</v>
      </c>
      <c r="AT129" s="6">
        <f>SUMIF($H$7:$H$104,$H129,AT$7:AT$104)+INDEX(Other_Tables!$L$40:$L$45,MATCH($H129,Other_Tables!$B$40:$B$45,0),)*(AT$99+AT$100)</f>
        <v>0</v>
      </c>
      <c r="AU129" s="6">
        <f>SUMIF($H$7:$H$104,$H129,AU$7:AU$104)+INDEX(Other_Tables!$L$40:$L$45,MATCH($H129,Other_Tables!$B$40:$B$45,0),)*(AU$99+AU$100)</f>
        <v>0</v>
      </c>
      <c r="AV129" s="6">
        <f>SUMIF($H$7:$H$104,$H129,AV$7:AV$104)+INDEX(Other_Tables!$L$40:$L$45,MATCH($H129,Other_Tables!$B$40:$B$45,0),)*(AV$99+AV$100)</f>
        <v>0</v>
      </c>
      <c r="AW129" s="6"/>
      <c r="AX129" s="6">
        <f t="shared" ref="AX129:BB130" si="180">N129+W129+AF129+AO129</f>
        <v>0</v>
      </c>
      <c r="AY129" s="6">
        <f t="shared" si="180"/>
        <v>0</v>
      </c>
      <c r="AZ129" s="6">
        <f t="shared" si="180"/>
        <v>0</v>
      </c>
      <c r="BA129" s="6">
        <f t="shared" si="180"/>
        <v>0</v>
      </c>
      <c r="BB129" s="6">
        <f t="shared" si="180"/>
        <v>8.1160022148394226</v>
      </c>
      <c r="BC129" s="6">
        <f t="shared" si="179"/>
        <v>69.797619047619037</v>
      </c>
      <c r="BD129" s="6">
        <f t="shared" si="179"/>
        <v>45.449612403100765</v>
      </c>
      <c r="BE129" s="6">
        <f t="shared" si="179"/>
        <v>0</v>
      </c>
      <c r="BG129" s="14">
        <f>SUM(AX129:BE129)</f>
        <v>123.36323366555922</v>
      </c>
    </row>
    <row r="130" spans="2:59" x14ac:dyDescent="0.25">
      <c r="B130" s="146" t="s">
        <v>118</v>
      </c>
      <c r="E130" s="8"/>
      <c r="F130" s="680"/>
      <c r="G130" s="677"/>
      <c r="H130" s="677"/>
      <c r="I130" s="8"/>
      <c r="J130" s="8"/>
      <c r="K130" s="8"/>
      <c r="L130" s="8"/>
      <c r="M130" s="8"/>
      <c r="N130" s="24">
        <f t="shared" ref="N130:U130" si="181">SUM(N128:N129)</f>
        <v>0</v>
      </c>
      <c r="O130" s="24">
        <f t="shared" si="181"/>
        <v>0</v>
      </c>
      <c r="P130" s="24">
        <f t="shared" si="181"/>
        <v>0</v>
      </c>
      <c r="Q130" s="24">
        <f t="shared" si="181"/>
        <v>717.58407833162187</v>
      </c>
      <c r="R130" s="24">
        <f t="shared" si="181"/>
        <v>2551.7701341470574</v>
      </c>
      <c r="S130" s="24">
        <f t="shared" si="181"/>
        <v>4510.4822271306157</v>
      </c>
      <c r="T130" s="24">
        <f t="shared" si="181"/>
        <v>2249.1627173172246</v>
      </c>
      <c r="U130" s="24">
        <f t="shared" si="181"/>
        <v>0</v>
      </c>
      <c r="V130" s="6"/>
      <c r="W130" s="24">
        <f t="shared" ref="W130:AD130" si="182">SUM(W128:W129)</f>
        <v>0</v>
      </c>
      <c r="X130" s="24">
        <f t="shared" si="182"/>
        <v>0</v>
      </c>
      <c r="Y130" s="24">
        <f t="shared" si="182"/>
        <v>0</v>
      </c>
      <c r="Z130" s="24">
        <f t="shared" si="182"/>
        <v>328.80054665094349</v>
      </c>
      <c r="AA130" s="24">
        <f t="shared" si="182"/>
        <v>436.38398184747405</v>
      </c>
      <c r="AB130" s="24">
        <f t="shared" si="182"/>
        <v>756.35189402247511</v>
      </c>
      <c r="AC130" s="24">
        <f t="shared" si="182"/>
        <v>332.19595675949216</v>
      </c>
      <c r="AD130" s="24">
        <f t="shared" si="182"/>
        <v>0</v>
      </c>
      <c r="AE130" s="6"/>
      <c r="AF130" s="24">
        <f t="shared" ref="AF130:AM130" si="183">SUM(AF128:AF129)</f>
        <v>0</v>
      </c>
      <c r="AG130" s="24">
        <f t="shared" si="183"/>
        <v>0</v>
      </c>
      <c r="AH130" s="24">
        <f t="shared" si="183"/>
        <v>0</v>
      </c>
      <c r="AI130" s="24">
        <f t="shared" si="183"/>
        <v>864.58660346545503</v>
      </c>
      <c r="AJ130" s="24">
        <f t="shared" si="183"/>
        <v>1917.4947900511381</v>
      </c>
      <c r="AK130" s="24">
        <f t="shared" si="183"/>
        <v>1577.3624179395485</v>
      </c>
      <c r="AL130" s="24">
        <f t="shared" si="183"/>
        <v>856.38217477836724</v>
      </c>
      <c r="AM130" s="24">
        <f t="shared" si="183"/>
        <v>0</v>
      </c>
      <c r="AN130" s="6"/>
      <c r="AO130" s="24">
        <f t="shared" ref="AO130:AV130" si="184">SUM(AO128:AO129)</f>
        <v>0</v>
      </c>
      <c r="AP130" s="24">
        <f t="shared" si="184"/>
        <v>0</v>
      </c>
      <c r="AQ130" s="24">
        <f t="shared" si="184"/>
        <v>0</v>
      </c>
      <c r="AR130" s="24">
        <f t="shared" si="184"/>
        <v>1.2198567447318238</v>
      </c>
      <c r="AS130" s="24">
        <f t="shared" si="184"/>
        <v>4.9035043053200473</v>
      </c>
      <c r="AT130" s="24">
        <f t="shared" si="184"/>
        <v>130.54227223206428</v>
      </c>
      <c r="AU130" s="24">
        <f t="shared" si="184"/>
        <v>124.89854935437782</v>
      </c>
      <c r="AV130" s="24">
        <f t="shared" si="184"/>
        <v>0</v>
      </c>
      <c r="AW130" s="6"/>
      <c r="AX130" s="24">
        <f t="shared" si="180"/>
        <v>0</v>
      </c>
      <c r="AY130" s="24">
        <f t="shared" si="180"/>
        <v>0</v>
      </c>
      <c r="AZ130" s="24">
        <f t="shared" si="180"/>
        <v>0</v>
      </c>
      <c r="BA130" s="24">
        <f t="shared" si="180"/>
        <v>1912.1910851927521</v>
      </c>
      <c r="BB130" s="24">
        <f t="shared" si="180"/>
        <v>4910.5524103509897</v>
      </c>
      <c r="BC130" s="24">
        <f t="shared" si="179"/>
        <v>6974.7388113247034</v>
      </c>
      <c r="BD130" s="24">
        <f t="shared" si="179"/>
        <v>3562.6393982094619</v>
      </c>
      <c r="BE130" s="24">
        <f t="shared" si="179"/>
        <v>0</v>
      </c>
      <c r="BG130" s="21">
        <f>SUM(BG128:BG129)</f>
        <v>17360.121705077909</v>
      </c>
    </row>
    <row r="131" spans="2:59" x14ac:dyDescent="0.25">
      <c r="B131" s="172" t="s">
        <v>83</v>
      </c>
      <c r="E131" s="8"/>
      <c r="F131" s="680"/>
      <c r="G131" s="677"/>
      <c r="H131" s="677"/>
      <c r="I131" s="8"/>
      <c r="J131" s="8"/>
      <c r="K131" s="8"/>
      <c r="L131" s="8"/>
      <c r="M131" s="8"/>
      <c r="N131" s="147"/>
      <c r="O131" s="147"/>
      <c r="P131" s="147"/>
      <c r="Q131" s="147"/>
      <c r="R131" s="147"/>
      <c r="S131" s="147"/>
      <c r="T131" s="147"/>
      <c r="U131" s="147"/>
      <c r="V131" s="6"/>
      <c r="W131" s="173"/>
      <c r="X131" s="173"/>
      <c r="Y131" s="173"/>
      <c r="Z131" s="173"/>
      <c r="AA131" s="173"/>
      <c r="AB131" s="173"/>
      <c r="AC131" s="173"/>
      <c r="AD131" s="173"/>
      <c r="AE131" s="6"/>
      <c r="AF131" s="173"/>
      <c r="AG131" s="173"/>
      <c r="AH131" s="173"/>
      <c r="AI131" s="173"/>
      <c r="AJ131" s="173"/>
      <c r="AK131" s="173"/>
      <c r="AL131" s="173"/>
      <c r="AM131" s="173"/>
      <c r="AN131" s="6"/>
      <c r="AO131" s="173"/>
      <c r="AP131" s="173"/>
      <c r="AQ131" s="173"/>
      <c r="AR131" s="173"/>
      <c r="AS131" s="173"/>
      <c r="AT131" s="173"/>
      <c r="AU131" s="173"/>
      <c r="AV131" s="173"/>
      <c r="AW131" s="6"/>
      <c r="AX131" s="173"/>
      <c r="AY131" s="173"/>
      <c r="AZ131" s="173"/>
      <c r="BA131" s="173"/>
      <c r="BB131" s="173"/>
      <c r="BC131" s="173"/>
      <c r="BD131" s="173"/>
      <c r="BE131" s="173"/>
      <c r="BG131" s="174"/>
    </row>
    <row r="132" spans="2:59" x14ac:dyDescent="0.25">
      <c r="B132" s="146" t="s">
        <v>198</v>
      </c>
      <c r="E132" s="8"/>
      <c r="F132" s="680"/>
      <c r="G132" s="677"/>
      <c r="H132" s="677" t="s">
        <v>213</v>
      </c>
      <c r="I132" s="8"/>
      <c r="J132" s="8"/>
      <c r="K132" s="8"/>
      <c r="L132" s="8"/>
      <c r="M132" s="8"/>
      <c r="N132" s="6">
        <f t="shared" ref="N132:U133" si="185">SUMIF($H$7:$H$104,$H132,N$7:N$104)</f>
        <v>0</v>
      </c>
      <c r="O132" s="6">
        <f t="shared" si="185"/>
        <v>0</v>
      </c>
      <c r="P132" s="6">
        <f t="shared" si="185"/>
        <v>0</v>
      </c>
      <c r="Q132" s="6">
        <f t="shared" si="185"/>
        <v>0</v>
      </c>
      <c r="R132" s="6">
        <f t="shared" si="185"/>
        <v>0</v>
      </c>
      <c r="S132" s="6">
        <f t="shared" si="185"/>
        <v>0</v>
      </c>
      <c r="T132" s="6">
        <f t="shared" si="185"/>
        <v>0</v>
      </c>
      <c r="U132" s="6">
        <f t="shared" si="185"/>
        <v>0</v>
      </c>
      <c r="V132" s="147"/>
      <c r="W132" s="147">
        <f t="shared" ref="W132:AD133" si="186">SUMIF($H$7:$H$104,$H132,W$7:W$104)</f>
        <v>0</v>
      </c>
      <c r="X132" s="147">
        <f t="shared" si="186"/>
        <v>0</v>
      </c>
      <c r="Y132" s="147">
        <f t="shared" si="186"/>
        <v>0</v>
      </c>
      <c r="Z132" s="147">
        <f t="shared" si="186"/>
        <v>0</v>
      </c>
      <c r="AA132" s="147">
        <f t="shared" si="186"/>
        <v>0</v>
      </c>
      <c r="AB132" s="147">
        <f t="shared" si="186"/>
        <v>0</v>
      </c>
      <c r="AC132" s="147">
        <f t="shared" si="186"/>
        <v>0</v>
      </c>
      <c r="AD132" s="147">
        <f t="shared" si="186"/>
        <v>0</v>
      </c>
      <c r="AE132" s="147"/>
      <c r="AF132" s="147">
        <f t="shared" ref="AF132:AM133" si="187">SUMIF($H$7:$H$104,$H132,AF$7:AF$104)</f>
        <v>0</v>
      </c>
      <c r="AG132" s="147">
        <f t="shared" si="187"/>
        <v>0</v>
      </c>
      <c r="AH132" s="147">
        <f t="shared" si="187"/>
        <v>0</v>
      </c>
      <c r="AI132" s="147">
        <f t="shared" si="187"/>
        <v>0</v>
      </c>
      <c r="AJ132" s="147">
        <f t="shared" si="187"/>
        <v>0</v>
      </c>
      <c r="AK132" s="147">
        <f t="shared" si="187"/>
        <v>0</v>
      </c>
      <c r="AL132" s="147">
        <f t="shared" si="187"/>
        <v>0</v>
      </c>
      <c r="AM132" s="147">
        <f t="shared" si="187"/>
        <v>0</v>
      </c>
      <c r="AN132" s="147"/>
      <c r="AO132" s="147">
        <f t="shared" ref="AO132:AV133" si="188">SUMIF($H$7:$H$104,$H132,AO$7:AO$104)</f>
        <v>0</v>
      </c>
      <c r="AP132" s="147">
        <f t="shared" si="188"/>
        <v>0</v>
      </c>
      <c r="AQ132" s="147">
        <f t="shared" si="188"/>
        <v>0</v>
      </c>
      <c r="AR132" s="147">
        <f t="shared" si="188"/>
        <v>0</v>
      </c>
      <c r="AS132" s="147">
        <f t="shared" si="188"/>
        <v>0</v>
      </c>
      <c r="AT132" s="147">
        <f t="shared" si="188"/>
        <v>0</v>
      </c>
      <c r="AU132" s="147">
        <f t="shared" si="188"/>
        <v>0</v>
      </c>
      <c r="AV132" s="147">
        <f t="shared" si="188"/>
        <v>0</v>
      </c>
      <c r="AW132" s="147"/>
      <c r="AX132" s="6">
        <f t="shared" ref="AX132:BE134" si="189">N132+W132+AF132+AO132</f>
        <v>0</v>
      </c>
      <c r="AY132" s="6">
        <f t="shared" si="189"/>
        <v>0</v>
      </c>
      <c r="AZ132" s="6">
        <f t="shared" si="189"/>
        <v>0</v>
      </c>
      <c r="BA132" s="6">
        <f t="shared" si="189"/>
        <v>0</v>
      </c>
      <c r="BB132" s="6">
        <f t="shared" si="189"/>
        <v>0</v>
      </c>
      <c r="BC132" s="6">
        <f t="shared" si="189"/>
        <v>0</v>
      </c>
      <c r="BD132" s="6">
        <f t="shared" si="189"/>
        <v>0</v>
      </c>
      <c r="BE132" s="6">
        <f t="shared" si="189"/>
        <v>0</v>
      </c>
      <c r="BF132" s="161"/>
      <c r="BG132" s="160">
        <f>SUM(AX132:BE132)</f>
        <v>0</v>
      </c>
    </row>
    <row r="133" spans="2:59" x14ac:dyDescent="0.25">
      <c r="B133" s="146" t="s">
        <v>77</v>
      </c>
      <c r="E133" s="8"/>
      <c r="F133" s="680"/>
      <c r="G133" s="677"/>
      <c r="H133" s="676" t="s">
        <v>212</v>
      </c>
      <c r="I133" s="20"/>
      <c r="J133" s="20"/>
      <c r="K133" s="20"/>
      <c r="L133" s="20"/>
      <c r="M133" s="20"/>
      <c r="N133" s="6">
        <f t="shared" si="185"/>
        <v>0</v>
      </c>
      <c r="O133" s="6">
        <f t="shared" si="185"/>
        <v>0</v>
      </c>
      <c r="P133" s="6">
        <f t="shared" si="185"/>
        <v>0</v>
      </c>
      <c r="Q133" s="6">
        <f t="shared" si="185"/>
        <v>0</v>
      </c>
      <c r="R133" s="6">
        <f t="shared" si="185"/>
        <v>0</v>
      </c>
      <c r="S133" s="6">
        <f t="shared" si="185"/>
        <v>0</v>
      </c>
      <c r="T133" s="6">
        <f t="shared" si="185"/>
        <v>0</v>
      </c>
      <c r="U133" s="6">
        <f t="shared" si="185"/>
        <v>0</v>
      </c>
      <c r="V133" s="6"/>
      <c r="W133" s="147">
        <f t="shared" si="186"/>
        <v>0</v>
      </c>
      <c r="X133" s="147">
        <f t="shared" si="186"/>
        <v>0</v>
      </c>
      <c r="Y133" s="147">
        <f t="shared" si="186"/>
        <v>0</v>
      </c>
      <c r="Z133" s="147">
        <f t="shared" si="186"/>
        <v>0</v>
      </c>
      <c r="AA133" s="147">
        <f t="shared" si="186"/>
        <v>0</v>
      </c>
      <c r="AB133" s="147">
        <f t="shared" si="186"/>
        <v>0</v>
      </c>
      <c r="AC133" s="147">
        <f t="shared" si="186"/>
        <v>0</v>
      </c>
      <c r="AD133" s="147">
        <f t="shared" si="186"/>
        <v>0</v>
      </c>
      <c r="AE133" s="6"/>
      <c r="AF133" s="147">
        <f t="shared" si="187"/>
        <v>0</v>
      </c>
      <c r="AG133" s="147">
        <f t="shared" si="187"/>
        <v>0</v>
      </c>
      <c r="AH133" s="147">
        <f t="shared" si="187"/>
        <v>0</v>
      </c>
      <c r="AI133" s="147">
        <f t="shared" si="187"/>
        <v>0</v>
      </c>
      <c r="AJ133" s="147">
        <f t="shared" si="187"/>
        <v>0</v>
      </c>
      <c r="AK133" s="147">
        <f t="shared" si="187"/>
        <v>0</v>
      </c>
      <c r="AL133" s="147">
        <f t="shared" si="187"/>
        <v>0</v>
      </c>
      <c r="AM133" s="147">
        <f t="shared" si="187"/>
        <v>0</v>
      </c>
      <c r="AN133" s="6"/>
      <c r="AO133" s="147">
        <f t="shared" si="188"/>
        <v>0</v>
      </c>
      <c r="AP133" s="147">
        <f t="shared" si="188"/>
        <v>0</v>
      </c>
      <c r="AQ133" s="147">
        <f t="shared" si="188"/>
        <v>0</v>
      </c>
      <c r="AR133" s="147">
        <f t="shared" si="188"/>
        <v>0</v>
      </c>
      <c r="AS133" s="147">
        <f t="shared" si="188"/>
        <v>0</v>
      </c>
      <c r="AT133" s="147">
        <f t="shared" si="188"/>
        <v>0</v>
      </c>
      <c r="AU133" s="147">
        <f t="shared" si="188"/>
        <v>0</v>
      </c>
      <c r="AV133" s="147">
        <f t="shared" si="188"/>
        <v>0</v>
      </c>
      <c r="AW133" s="6"/>
      <c r="AX133" s="6">
        <f t="shared" si="189"/>
        <v>0</v>
      </c>
      <c r="AY133" s="6">
        <f t="shared" si="189"/>
        <v>0</v>
      </c>
      <c r="AZ133" s="6">
        <f t="shared" si="189"/>
        <v>0</v>
      </c>
      <c r="BA133" s="6">
        <f t="shared" si="189"/>
        <v>0</v>
      </c>
      <c r="BB133" s="6">
        <f t="shared" si="189"/>
        <v>0</v>
      </c>
      <c r="BC133" s="6">
        <f t="shared" si="189"/>
        <v>0</v>
      </c>
      <c r="BD133" s="6">
        <f t="shared" si="189"/>
        <v>0</v>
      </c>
      <c r="BE133" s="6">
        <f t="shared" si="189"/>
        <v>0</v>
      </c>
      <c r="BG133" s="14">
        <f>SUM(AX133:BE133)</f>
        <v>0</v>
      </c>
    </row>
    <row r="134" spans="2:59" x14ac:dyDescent="0.25">
      <c r="B134" s="146" t="s">
        <v>211</v>
      </c>
      <c r="E134" s="8"/>
      <c r="F134" s="680"/>
      <c r="G134" s="677"/>
      <c r="H134" s="676" t="s">
        <v>214</v>
      </c>
      <c r="I134" s="20"/>
      <c r="J134" s="20"/>
      <c r="K134" s="20"/>
      <c r="L134" s="20"/>
      <c r="M134" s="20"/>
      <c r="N134" s="147">
        <f>SUMIF($H$7:$H$104,$H134,N$7:N$104)+INDEX(Other_Tables!$L$40:$L$46,MATCH($H134,Other_Tables!$B$40:$B$46,0),)*(N$99+N$100)</f>
        <v>0</v>
      </c>
      <c r="O134" s="147">
        <f>SUMIF($H$7:$H$104,$H134,O$7:O$104)+INDEX(Other_Tables!$L$40:$L$46,MATCH($H134,Other_Tables!$B$40:$B$46,0),)*(O$99+O$100)</f>
        <v>0</v>
      </c>
      <c r="P134" s="147">
        <f>SUMIF($H$7:$H$104,$H134,P$7:P$104)+INDEX(Other_Tables!$L$40:$L$46,MATCH($H134,Other_Tables!$B$40:$B$46,0),)*(P$99+P$100)</f>
        <v>0</v>
      </c>
      <c r="Q134" s="147">
        <f>SUMIF($H$7:$H$104,$H134,Q$7:Q$104)+INDEX(Other_Tables!$L$40:$L$46,MATCH($H134,Other_Tables!$B$40:$B$46,0),)*(Q$99+Q$100)</f>
        <v>0</v>
      </c>
      <c r="R134" s="147">
        <f>SUMIF($H$7:$H$104,$H134,R$7:R$104)+INDEX(Other_Tables!$L$40:$L$46,MATCH($H134,Other_Tables!$B$40:$B$46,0),)*(R$99+R$100)</f>
        <v>0</v>
      </c>
      <c r="S134" s="147">
        <f>SUMIF($H$7:$H$104,$H134,S$7:S$104)+INDEX(Other_Tables!$L$40:$L$46,MATCH($H134,Other_Tables!$B$40:$B$46,0),)*(S$99+S$100)</f>
        <v>0</v>
      </c>
      <c r="T134" s="147">
        <f>SUMIF($H$7:$H$104,$H134,T$7:T$104)+INDEX(Other_Tables!$L$40:$L$46,MATCH($H134,Other_Tables!$B$40:$B$46,0),)*(T$99+T$100)</f>
        <v>0</v>
      </c>
      <c r="U134" s="147">
        <f>SUMIF($H$7:$H$104,$H134,U$7:U$104)+INDEX(Other_Tables!$L$40:$L$46,MATCH($H134,Other_Tables!$B$40:$B$46,0),)*(U$99+U$100)</f>
        <v>0</v>
      </c>
      <c r="V134" s="6"/>
      <c r="W134" s="147">
        <f>SUMIF($H$7:$H$104,$H134,W$7:W$104)+INDEX(Other_Tables!$L$40:$L$46,MATCH($H134,Other_Tables!$B$40:$B$46,0),)*(W$99+W$100)</f>
        <v>0</v>
      </c>
      <c r="X134" s="147">
        <f>SUMIF($H$7:$H$104,$H134,X$7:X$104)+INDEX(Other_Tables!$L$40:$L$46,MATCH($H134,Other_Tables!$B$40:$B$46,0),)*(X$99+X$100)</f>
        <v>0</v>
      </c>
      <c r="Y134" s="147">
        <f>SUMIF($H$7:$H$104,$H134,Y$7:Y$104)+INDEX(Other_Tables!$L$40:$L$46,MATCH($H134,Other_Tables!$B$40:$B$46,0),)*(Y$99+Y$100)</f>
        <v>0</v>
      </c>
      <c r="Z134" s="147">
        <f>SUMIF($H$7:$H$104,$H134,Z$7:Z$104)+INDEX(Other_Tables!$L$40:$L$46,MATCH($H134,Other_Tables!$B$40:$B$46,0),)*(Z$99+Z$100)</f>
        <v>11.275248412519593</v>
      </c>
      <c r="AA134" s="147">
        <f>SUMIF($H$7:$H$104,$H134,AA$7:AA$104)+INDEX(Other_Tables!$L$40:$L$46,MATCH($H134,Other_Tables!$B$40:$B$46,0),)*(AA$99+AA$100)</f>
        <v>8.9493314186597974</v>
      </c>
      <c r="AB134" s="147">
        <f>SUMIF($H$7:$H$104,$H134,AB$7:AB$104)+INDEX(Other_Tables!$L$40:$L$46,MATCH($H134,Other_Tables!$B$40:$B$46,0),)*(AB$99+AB$100)</f>
        <v>59.66220945773199</v>
      </c>
      <c r="AC134" s="147">
        <f>SUMIF($H$7:$H$104,$H134,AC$7:AC$104)+INDEX(Other_Tables!$L$40:$L$46,MATCH($H134,Other_Tables!$B$40:$B$46,0),)*(AC$99+AC$100)</f>
        <v>44.000879475077348</v>
      </c>
      <c r="AD134" s="147">
        <f>SUMIF($H$7:$H$104,$H134,AD$7:AD$104)+INDEX(Other_Tables!$L$40:$L$46,MATCH($H134,Other_Tables!$B$40:$B$46,0),)*(AD$99+AD$100)</f>
        <v>0</v>
      </c>
      <c r="AE134" s="6"/>
      <c r="AF134" s="147">
        <f>SUMIF($H$7:$H$104,$H134,AF$7:AF$104)+INDEX(Other_Tables!$L$40:$L$46,MATCH($H134,Other_Tables!$B$40:$B$46,0),)*(AF$99+AF$100)</f>
        <v>0</v>
      </c>
      <c r="AG134" s="147">
        <f>SUMIF($H$7:$H$104,$H134,AG$7:AG$104)+INDEX(Other_Tables!$L$40:$L$46,MATCH($H134,Other_Tables!$B$40:$B$46,0),)*(AG$99+AG$100)</f>
        <v>0</v>
      </c>
      <c r="AH134" s="147">
        <f>SUMIF($H$7:$H$104,$H134,AH$7:AH$104)+INDEX(Other_Tables!$L$40:$L$46,MATCH($H134,Other_Tables!$B$40:$B$46,0),)*(AH$99+AH$100)</f>
        <v>0</v>
      </c>
      <c r="AI134" s="147">
        <f>SUMIF($H$7:$H$104,$H134,AI$7:AI$104)+INDEX(Other_Tables!$L$40:$L$46,MATCH($H134,Other_Tables!$B$40:$B$46,0),)*(AI$99+AI$100)</f>
        <v>25.525284604646448</v>
      </c>
      <c r="AJ134" s="147">
        <f>SUMIF($H$7:$H$104,$H134,AJ$7:AJ$104)+INDEX(Other_Tables!$L$40:$L$46,MATCH($H134,Other_Tables!$B$40:$B$46,0),)*(AJ$99+AJ$100)</f>
        <v>3398.5463290134485</v>
      </c>
      <c r="AK134" s="147">
        <f>SUMIF($H$7:$H$104,$H134,AK$7:AK$104)+INDEX(Other_Tables!$L$40:$L$46,MATCH($H134,Other_Tables!$B$40:$B$46,0),)*(AK$99+AK$100)</f>
        <v>0</v>
      </c>
      <c r="AL134" s="147">
        <f>SUMIF($H$7:$H$104,$H134,AL$7:AL$104)+INDEX(Other_Tables!$L$40:$L$46,MATCH($H134,Other_Tables!$B$40:$B$46,0),)*(AL$99+AL$100)</f>
        <v>0</v>
      </c>
      <c r="AM134" s="147">
        <f>SUMIF($H$7:$H$104,$H134,AM$7:AM$104)+INDEX(Other_Tables!$L$40:$L$46,MATCH($H134,Other_Tables!$B$40:$B$46,0),)*(AM$99+AM$100)</f>
        <v>0</v>
      </c>
      <c r="AN134" s="6"/>
      <c r="AO134" s="147">
        <f>SUMIF($H$7:$H$104,$H134,AO$7:AO$104)+INDEX(Other_Tables!$L$40:$L$46,MATCH($H134,Other_Tables!$B$40:$B$46,0),)*(AO$99+AO$100)</f>
        <v>0</v>
      </c>
      <c r="AP134" s="147">
        <f>SUMIF($H$7:$H$104,$H134,AP$7:AP$104)+INDEX(Other_Tables!$L$40:$L$46,MATCH($H134,Other_Tables!$B$40:$B$46,0),)*(AP$99+AP$100)</f>
        <v>0</v>
      </c>
      <c r="AQ134" s="147">
        <f>SUMIF($H$7:$H$104,$H134,AQ$7:AQ$104)+INDEX(Other_Tables!$L$40:$L$46,MATCH($H134,Other_Tables!$B$40:$B$46,0),)*(AQ$99+AQ$100)</f>
        <v>0</v>
      </c>
      <c r="AR134" s="147">
        <f>SUMIF($H$7:$H$104,$H134,AR$7:AR$104)+INDEX(Other_Tables!$L$40:$L$46,MATCH($H134,Other_Tables!$B$40:$B$46,0),)*(AR$99+AR$100)</f>
        <v>0</v>
      </c>
      <c r="AS134" s="147">
        <f>SUMIF($H$7:$H$104,$H134,AS$7:AS$104)+INDEX(Other_Tables!$L$40:$L$46,MATCH($H134,Other_Tables!$B$40:$B$46,0),)*(AS$99+AS$100)</f>
        <v>0</v>
      </c>
      <c r="AT134" s="147">
        <f>SUMIF($H$7:$H$104,$H134,AT$7:AT$104)+INDEX(Other_Tables!$L$40:$L$46,MATCH($H134,Other_Tables!$B$40:$B$46,0),)*(AT$99+AT$100)</f>
        <v>0</v>
      </c>
      <c r="AU134" s="147">
        <f>SUMIF($H$7:$H$104,$H134,AU$7:AU$104)+INDEX(Other_Tables!$L$40:$L$46,MATCH($H134,Other_Tables!$B$40:$B$46,0),)*(AU$99+AU$100)</f>
        <v>0</v>
      </c>
      <c r="AV134" s="147">
        <f>SUMIF($H$7:$H$104,$H134,AV$7:AV$104)+INDEX(Other_Tables!$L$40:$L$46,MATCH($H134,Other_Tables!$B$40:$B$46,0),)*(AV$99+AV$100)</f>
        <v>0</v>
      </c>
      <c r="AW134" s="6"/>
      <c r="AX134" s="6">
        <f t="shared" si="189"/>
        <v>0</v>
      </c>
      <c r="AY134" s="6">
        <f t="shared" si="189"/>
        <v>0</v>
      </c>
      <c r="AZ134" s="6">
        <f t="shared" si="189"/>
        <v>0</v>
      </c>
      <c r="BA134" s="6">
        <f t="shared" si="189"/>
        <v>36.800533017166039</v>
      </c>
      <c r="BB134" s="6">
        <f t="shared" si="189"/>
        <v>3407.4956604321083</v>
      </c>
      <c r="BC134" s="6">
        <f t="shared" si="189"/>
        <v>59.66220945773199</v>
      </c>
      <c r="BD134" s="6">
        <f t="shared" si="189"/>
        <v>44.000879475077348</v>
      </c>
      <c r="BE134" s="6">
        <f t="shared" si="189"/>
        <v>0</v>
      </c>
      <c r="BG134" s="14">
        <f>SUM(AX134:BE134)</f>
        <v>3547.9592823820835</v>
      </c>
    </row>
    <row r="135" spans="2:59" x14ac:dyDescent="0.25">
      <c r="B135" s="146" t="s">
        <v>118</v>
      </c>
      <c r="E135" s="8"/>
      <c r="F135" s="680"/>
      <c r="G135" s="677"/>
      <c r="H135" s="677"/>
      <c r="I135" s="8"/>
      <c r="J135" s="8"/>
      <c r="K135" s="8"/>
      <c r="L135" s="8"/>
      <c r="M135" s="8"/>
      <c r="N135" s="24">
        <f t="shared" ref="N135:U135" si="190">SUM(N132:N134)</f>
        <v>0</v>
      </c>
      <c r="O135" s="24">
        <f t="shared" si="190"/>
        <v>0</v>
      </c>
      <c r="P135" s="24">
        <f t="shared" si="190"/>
        <v>0</v>
      </c>
      <c r="Q135" s="24">
        <f t="shared" si="190"/>
        <v>0</v>
      </c>
      <c r="R135" s="24">
        <f t="shared" si="190"/>
        <v>0</v>
      </c>
      <c r="S135" s="24">
        <f t="shared" si="190"/>
        <v>0</v>
      </c>
      <c r="T135" s="24">
        <f t="shared" si="190"/>
        <v>0</v>
      </c>
      <c r="U135" s="24">
        <f t="shared" si="190"/>
        <v>0</v>
      </c>
      <c r="V135" s="6"/>
      <c r="W135" s="24">
        <f t="shared" ref="W135:AD135" si="191">SUM(W132:W134)</f>
        <v>0</v>
      </c>
      <c r="X135" s="24">
        <f t="shared" si="191"/>
        <v>0</v>
      </c>
      <c r="Y135" s="24">
        <f t="shared" si="191"/>
        <v>0</v>
      </c>
      <c r="Z135" s="24">
        <f t="shared" si="191"/>
        <v>11.275248412519593</v>
      </c>
      <c r="AA135" s="24">
        <f t="shared" si="191"/>
        <v>8.9493314186597974</v>
      </c>
      <c r="AB135" s="24">
        <f t="shared" si="191"/>
        <v>59.66220945773199</v>
      </c>
      <c r="AC135" s="24">
        <f t="shared" si="191"/>
        <v>44.000879475077348</v>
      </c>
      <c r="AD135" s="24">
        <f t="shared" si="191"/>
        <v>0</v>
      </c>
      <c r="AE135" s="6"/>
      <c r="AF135" s="24">
        <f t="shared" ref="AF135:AM135" si="192">SUM(AF132:AF134)</f>
        <v>0</v>
      </c>
      <c r="AG135" s="24">
        <f t="shared" si="192"/>
        <v>0</v>
      </c>
      <c r="AH135" s="24">
        <f t="shared" si="192"/>
        <v>0</v>
      </c>
      <c r="AI135" s="24">
        <f t="shared" si="192"/>
        <v>25.525284604646448</v>
      </c>
      <c r="AJ135" s="24">
        <f t="shared" si="192"/>
        <v>3398.5463290134485</v>
      </c>
      <c r="AK135" s="24">
        <f t="shared" si="192"/>
        <v>0</v>
      </c>
      <c r="AL135" s="24">
        <f t="shared" si="192"/>
        <v>0</v>
      </c>
      <c r="AM135" s="24">
        <f t="shared" si="192"/>
        <v>0</v>
      </c>
      <c r="AN135" s="6"/>
      <c r="AO135" s="24">
        <f t="shared" ref="AO135:AV135" si="193">SUM(AO132:AO134)</f>
        <v>0</v>
      </c>
      <c r="AP135" s="24">
        <f t="shared" si="193"/>
        <v>0</v>
      </c>
      <c r="AQ135" s="24">
        <f t="shared" si="193"/>
        <v>0</v>
      </c>
      <c r="AR135" s="24">
        <f t="shared" si="193"/>
        <v>0</v>
      </c>
      <c r="AS135" s="24">
        <f t="shared" si="193"/>
        <v>0</v>
      </c>
      <c r="AT135" s="24">
        <f t="shared" si="193"/>
        <v>0</v>
      </c>
      <c r="AU135" s="24">
        <f t="shared" si="193"/>
        <v>0</v>
      </c>
      <c r="AV135" s="24">
        <f t="shared" si="193"/>
        <v>0</v>
      </c>
      <c r="AW135" s="6"/>
      <c r="AX135" s="24">
        <f t="shared" ref="AX135:BE135" si="194">SUM(AX132:AX134)</f>
        <v>0</v>
      </c>
      <c r="AY135" s="24">
        <f t="shared" si="194"/>
        <v>0</v>
      </c>
      <c r="AZ135" s="24">
        <f t="shared" si="194"/>
        <v>0</v>
      </c>
      <c r="BA135" s="24">
        <f t="shared" si="194"/>
        <v>36.800533017166039</v>
      </c>
      <c r="BB135" s="24">
        <f t="shared" si="194"/>
        <v>3407.4956604321083</v>
      </c>
      <c r="BC135" s="24">
        <f t="shared" si="194"/>
        <v>59.66220945773199</v>
      </c>
      <c r="BD135" s="24">
        <f t="shared" si="194"/>
        <v>44.000879475077348</v>
      </c>
      <c r="BE135" s="24">
        <f t="shared" si="194"/>
        <v>0</v>
      </c>
      <c r="BG135" s="24">
        <f>SUM(BG132:BG134)</f>
        <v>3547.9592823820835</v>
      </c>
    </row>
    <row r="136" spans="2:59" x14ac:dyDescent="0.25">
      <c r="B136" s="42" t="s">
        <v>81</v>
      </c>
      <c r="E136" s="8"/>
      <c r="F136" s="677"/>
      <c r="G136" s="681"/>
      <c r="H136" s="681"/>
      <c r="N136" s="39">
        <f t="shared" ref="N136:U136" si="195">N122+N126+N130+N135</f>
        <v>0</v>
      </c>
      <c r="O136" s="39">
        <f t="shared" si="195"/>
        <v>0</v>
      </c>
      <c r="P136" s="39">
        <f t="shared" si="195"/>
        <v>145.69629629629631</v>
      </c>
      <c r="Q136" s="39">
        <f t="shared" si="195"/>
        <v>2479.8632328754702</v>
      </c>
      <c r="R136" s="39">
        <f t="shared" si="195"/>
        <v>12769.514019399478</v>
      </c>
      <c r="S136" s="39">
        <f t="shared" si="195"/>
        <v>12099.378633562255</v>
      </c>
      <c r="T136" s="39">
        <f t="shared" si="195"/>
        <v>6300.0253619945888</v>
      </c>
      <c r="U136" s="39">
        <f t="shared" si="195"/>
        <v>0</v>
      </c>
      <c r="V136" s="6"/>
      <c r="W136" s="39">
        <f t="shared" ref="W136:AD136" si="196">W122+W126+W130+W135</f>
        <v>0</v>
      </c>
      <c r="X136" s="39">
        <f t="shared" si="196"/>
        <v>0</v>
      </c>
      <c r="Y136" s="39">
        <f t="shared" si="196"/>
        <v>11.65185185185185</v>
      </c>
      <c r="Z136" s="39">
        <f t="shared" si="196"/>
        <v>1575.3590068544966</v>
      </c>
      <c r="AA136" s="39">
        <f t="shared" si="196"/>
        <v>2311.5976513978903</v>
      </c>
      <c r="AB136" s="39">
        <f t="shared" si="196"/>
        <v>4358.5865585129022</v>
      </c>
      <c r="AC136" s="39">
        <f t="shared" si="196"/>
        <v>2700.7577035784075</v>
      </c>
      <c r="AD136" s="39">
        <f t="shared" si="196"/>
        <v>0</v>
      </c>
      <c r="AE136" s="6"/>
      <c r="AF136" s="39">
        <f t="shared" ref="AF136:AM136" si="197">AF122+AF126+AF130+AF135</f>
        <v>0</v>
      </c>
      <c r="AG136" s="39">
        <f t="shared" si="197"/>
        <v>0</v>
      </c>
      <c r="AH136" s="39">
        <f t="shared" si="197"/>
        <v>68.948148148148135</v>
      </c>
      <c r="AI136" s="39">
        <f t="shared" si="197"/>
        <v>4910.4752464588855</v>
      </c>
      <c r="AJ136" s="39">
        <f t="shared" si="197"/>
        <v>15226.89428366858</v>
      </c>
      <c r="AK136" s="39">
        <f t="shared" si="197"/>
        <v>21103.982529012021</v>
      </c>
      <c r="AL136" s="39">
        <f t="shared" si="197"/>
        <v>14441.885148350499</v>
      </c>
      <c r="AM136" s="39">
        <f t="shared" si="197"/>
        <v>0</v>
      </c>
      <c r="AN136" s="6"/>
      <c r="AO136" s="39">
        <f t="shared" ref="AO136:AV136" si="198">AO122+AO126+AO130+AO135</f>
        <v>0</v>
      </c>
      <c r="AP136" s="39">
        <f t="shared" si="198"/>
        <v>0</v>
      </c>
      <c r="AQ136" s="39">
        <f t="shared" si="198"/>
        <v>0</v>
      </c>
      <c r="AR136" s="39">
        <f t="shared" si="198"/>
        <v>129.44926628226759</v>
      </c>
      <c r="AS136" s="39">
        <f t="shared" si="198"/>
        <v>326.06250137104956</v>
      </c>
      <c r="AT136" s="39">
        <f t="shared" si="198"/>
        <v>1398.1688855245611</v>
      </c>
      <c r="AU136" s="39">
        <f t="shared" si="198"/>
        <v>1183.8971748628644</v>
      </c>
      <c r="AV136" s="39">
        <f t="shared" si="198"/>
        <v>0</v>
      </c>
      <c r="AW136" s="6"/>
      <c r="AX136" s="39">
        <f t="shared" ref="AX136:BE136" si="199">AX122+AX126+AX130+AX135</f>
        <v>0</v>
      </c>
      <c r="AY136" s="39">
        <f t="shared" si="199"/>
        <v>0</v>
      </c>
      <c r="AZ136" s="39">
        <f t="shared" si="199"/>
        <v>226.2962962962963</v>
      </c>
      <c r="BA136" s="39">
        <f t="shared" si="199"/>
        <v>9095.1467524711188</v>
      </c>
      <c r="BB136" s="39">
        <f t="shared" si="199"/>
        <v>30634.068455836998</v>
      </c>
      <c r="BC136" s="39">
        <f t="shared" si="199"/>
        <v>38960.116606611744</v>
      </c>
      <c r="BD136" s="39">
        <f t="shared" si="199"/>
        <v>24626.565388786359</v>
      </c>
      <c r="BE136" s="39">
        <f t="shared" si="199"/>
        <v>0</v>
      </c>
      <c r="BG136" s="39">
        <f>BG122+BG126+BG130+BG135</f>
        <v>103542.19350000253</v>
      </c>
    </row>
    <row r="137" spans="2:59" x14ac:dyDescent="0.25">
      <c r="B137" s="200" t="s">
        <v>72</v>
      </c>
      <c r="E137" s="8"/>
      <c r="F137" s="8"/>
      <c r="N137" s="197">
        <f t="shared" ref="N137:U137" si="200">N136-N114</f>
        <v>0</v>
      </c>
      <c r="O137" s="197">
        <f t="shared" si="200"/>
        <v>0</v>
      </c>
      <c r="P137" s="197">
        <f t="shared" si="200"/>
        <v>0</v>
      </c>
      <c r="Q137" s="197">
        <f t="shared" si="200"/>
        <v>0</v>
      </c>
      <c r="R137" s="197">
        <f t="shared" si="200"/>
        <v>0</v>
      </c>
      <c r="S137" s="197">
        <f t="shared" si="200"/>
        <v>0</v>
      </c>
      <c r="T137" s="197">
        <f t="shared" si="200"/>
        <v>0</v>
      </c>
      <c r="U137" s="197">
        <f t="shared" si="200"/>
        <v>0</v>
      </c>
      <c r="V137" s="201"/>
      <c r="W137" s="197">
        <f t="shared" ref="W137:AD137" si="201">W136-W114</f>
        <v>0</v>
      </c>
      <c r="X137" s="197">
        <f t="shared" si="201"/>
        <v>0</v>
      </c>
      <c r="Y137" s="197">
        <f t="shared" si="201"/>
        <v>0</v>
      </c>
      <c r="Z137" s="446">
        <f t="shared" si="201"/>
        <v>0</v>
      </c>
      <c r="AA137" s="197">
        <f t="shared" si="201"/>
        <v>0</v>
      </c>
      <c r="AB137" s="197">
        <f t="shared" si="201"/>
        <v>0</v>
      </c>
      <c r="AC137" s="197">
        <f t="shared" si="201"/>
        <v>0</v>
      </c>
      <c r="AD137" s="197">
        <f t="shared" si="201"/>
        <v>0</v>
      </c>
      <c r="AE137" s="201"/>
      <c r="AF137" s="197">
        <f t="shared" ref="AF137:AM137" si="202">AF136-AF114</f>
        <v>0</v>
      </c>
      <c r="AG137" s="197">
        <f t="shared" si="202"/>
        <v>0</v>
      </c>
      <c r="AH137" s="197">
        <f t="shared" si="202"/>
        <v>0</v>
      </c>
      <c r="AI137" s="446">
        <f t="shared" si="202"/>
        <v>0</v>
      </c>
      <c r="AJ137" s="197">
        <f t="shared" si="202"/>
        <v>0</v>
      </c>
      <c r="AK137" s="197">
        <f t="shared" si="202"/>
        <v>0</v>
      </c>
      <c r="AL137" s="197">
        <f t="shared" si="202"/>
        <v>0</v>
      </c>
      <c r="AM137" s="197">
        <f t="shared" si="202"/>
        <v>0</v>
      </c>
      <c r="AN137" s="201"/>
      <c r="AO137" s="197">
        <f t="shared" ref="AO137:AV137" si="203">AO136-AO114</f>
        <v>0</v>
      </c>
      <c r="AP137" s="197">
        <f t="shared" si="203"/>
        <v>0</v>
      </c>
      <c r="AQ137" s="197">
        <f t="shared" si="203"/>
        <v>0</v>
      </c>
      <c r="AR137" s="197">
        <f t="shared" si="203"/>
        <v>0</v>
      </c>
      <c r="AS137" s="197">
        <f t="shared" si="203"/>
        <v>0</v>
      </c>
      <c r="AT137" s="197">
        <f t="shared" si="203"/>
        <v>0</v>
      </c>
      <c r="AU137" s="197">
        <f t="shared" si="203"/>
        <v>0</v>
      </c>
      <c r="AV137" s="197">
        <f t="shared" si="203"/>
        <v>0</v>
      </c>
      <c r="AW137" s="201"/>
      <c r="AX137" s="197">
        <f t="shared" ref="AX137:BE137" si="204">AX136-AX114</f>
        <v>0</v>
      </c>
      <c r="AY137" s="197">
        <f t="shared" si="204"/>
        <v>0</v>
      </c>
      <c r="AZ137" s="197">
        <f t="shared" si="204"/>
        <v>0</v>
      </c>
      <c r="BA137" s="197">
        <f t="shared" si="204"/>
        <v>0</v>
      </c>
      <c r="BB137" s="197">
        <f t="shared" si="204"/>
        <v>0</v>
      </c>
      <c r="BC137" s="197">
        <f t="shared" si="204"/>
        <v>0</v>
      </c>
      <c r="BD137" s="197">
        <f t="shared" si="204"/>
        <v>0</v>
      </c>
      <c r="BE137" s="197">
        <f t="shared" si="204"/>
        <v>0</v>
      </c>
      <c r="BF137" s="53"/>
      <c r="BG137" s="446">
        <f>BG136-BG114</f>
        <v>0</v>
      </c>
    </row>
    <row r="138" spans="2:59" x14ac:dyDescent="0.25">
      <c r="B138" s="162"/>
      <c r="E138" s="8"/>
      <c r="F138" s="8"/>
      <c r="N138" s="147"/>
      <c r="O138" s="147"/>
      <c r="P138" s="147"/>
      <c r="Q138" s="147"/>
      <c r="R138" s="147"/>
      <c r="S138" s="147"/>
      <c r="T138" s="147"/>
      <c r="U138" s="147"/>
      <c r="V138" s="6"/>
      <c r="W138" s="147"/>
      <c r="X138" s="147"/>
      <c r="Y138" s="147"/>
      <c r="Z138" s="147"/>
      <c r="AA138" s="147"/>
      <c r="AB138" s="147"/>
      <c r="AC138" s="147"/>
      <c r="AD138" s="147"/>
      <c r="AE138" s="6"/>
      <c r="AF138" s="147"/>
      <c r="AG138" s="147"/>
      <c r="AH138" s="147"/>
      <c r="AI138" s="147"/>
      <c r="AJ138" s="147"/>
      <c r="AK138" s="147"/>
      <c r="AL138" s="147"/>
      <c r="AM138" s="147"/>
      <c r="AN138" s="6"/>
      <c r="AO138" s="147"/>
      <c r="AP138" s="147"/>
      <c r="AQ138" s="147"/>
      <c r="AR138" s="147"/>
      <c r="AS138" s="147"/>
      <c r="AT138" s="147"/>
      <c r="AU138" s="147"/>
      <c r="AV138" s="147"/>
      <c r="AW138" s="6"/>
      <c r="AX138" s="147"/>
      <c r="AY138" s="147"/>
      <c r="AZ138" s="147"/>
      <c r="BA138" s="147"/>
      <c r="BB138" s="147"/>
      <c r="BC138" s="147"/>
      <c r="BD138" s="147"/>
      <c r="BE138" s="147"/>
      <c r="BG138" s="147"/>
    </row>
    <row r="139" spans="2:59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</row>
    <row r="140" spans="2:59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2:59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2:59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2:59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2:59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5:57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5:57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5:57" x14ac:dyDescent="0.25">
      <c r="E147" s="8"/>
      <c r="F147" s="8"/>
      <c r="G147" s="8"/>
      <c r="H147" s="20"/>
      <c r="I147" s="20"/>
      <c r="J147" s="20"/>
      <c r="K147" s="20"/>
      <c r="L147" s="20"/>
      <c r="M147" s="20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5:57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5:57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5:57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5:57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5:57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5:57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5:57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5:57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5:57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5:57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5:57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5:57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5:57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5:57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5:57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spans="5:57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5:57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5:57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5:57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5:57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5:57" x14ac:dyDescent="0.25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5:57" x14ac:dyDescent="0.25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5:57" x14ac:dyDescent="0.25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5:57" x14ac:dyDescent="0.25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</row>
    <row r="172" spans="5:57" x14ac:dyDescent="0.25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</row>
    <row r="173" spans="5:57" x14ac:dyDescent="0.25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5:57" x14ac:dyDescent="0.25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5:57" x14ac:dyDescent="0.25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5:57" x14ac:dyDescent="0.25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5:57" x14ac:dyDescent="0.25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5:57" x14ac:dyDescent="0.25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5:57" x14ac:dyDescent="0.25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</row>
    <row r="180" spans="5:57" x14ac:dyDescent="0.25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5:57" x14ac:dyDescent="0.25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5:57" x14ac:dyDescent="0.25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5:57" x14ac:dyDescent="0.25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5:57" x14ac:dyDescent="0.25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5:57" x14ac:dyDescent="0.25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5:57" x14ac:dyDescent="0.25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5:57" x14ac:dyDescent="0.25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5:57" x14ac:dyDescent="0.25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5:57" x14ac:dyDescent="0.25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5:57" x14ac:dyDescent="0.25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5:57" x14ac:dyDescent="0.25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</row>
    <row r="192" spans="5:57" x14ac:dyDescent="0.25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5:57" x14ac:dyDescent="0.25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5:57" x14ac:dyDescent="0.25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</row>
    <row r="195" spans="5:57" x14ac:dyDescent="0.25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5:57" x14ac:dyDescent="0.25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5:57" x14ac:dyDescent="0.25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</row>
    <row r="198" spans="5:57" x14ac:dyDescent="0.25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5:57" x14ac:dyDescent="0.25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</row>
    <row r="200" spans="5:57" x14ac:dyDescent="0.25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5:57" x14ac:dyDescent="0.25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5:57" x14ac:dyDescent="0.25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5:57" x14ac:dyDescent="0.25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5:57" x14ac:dyDescent="0.25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5:57" x14ac:dyDescent="0.25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</row>
    <row r="206" spans="5:57" x14ac:dyDescent="0.25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5:57" x14ac:dyDescent="0.25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5:57" x14ac:dyDescent="0.25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</row>
    <row r="209" spans="5:57" x14ac:dyDescent="0.25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5:57" x14ac:dyDescent="0.25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5:57" x14ac:dyDescent="0.25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5:57" x14ac:dyDescent="0.25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5:57" x14ac:dyDescent="0.25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5:57" x14ac:dyDescent="0.25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5:57" x14ac:dyDescent="0.25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5:57" x14ac:dyDescent="0.25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5:57" x14ac:dyDescent="0.25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5:57" x14ac:dyDescent="0.25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5:57" x14ac:dyDescent="0.25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</row>
    <row r="220" spans="5:57" x14ac:dyDescent="0.25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5:57" x14ac:dyDescent="0.25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5:57" x14ac:dyDescent="0.25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5:57" x14ac:dyDescent="0.25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5:57" x14ac:dyDescent="0.25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5:57" x14ac:dyDescent="0.25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</row>
    <row r="226" spans="5:57" x14ac:dyDescent="0.25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5:57" x14ac:dyDescent="0.25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</row>
    <row r="228" spans="5:57" x14ac:dyDescent="0.25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5:57" x14ac:dyDescent="0.25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5:57" x14ac:dyDescent="0.25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5:57" x14ac:dyDescent="0.25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5:57" x14ac:dyDescent="0.25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5:57" x14ac:dyDescent="0.25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</row>
    <row r="234" spans="5:57" x14ac:dyDescent="0.25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5:57" x14ac:dyDescent="0.25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</row>
    <row r="236" spans="5:57" x14ac:dyDescent="0.25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5:57" x14ac:dyDescent="0.25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5:57" x14ac:dyDescent="0.25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</row>
    <row r="239" spans="5:57" x14ac:dyDescent="0.25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5:57" x14ac:dyDescent="0.25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5:57" x14ac:dyDescent="0.25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5:57" x14ac:dyDescent="0.25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5:57" x14ac:dyDescent="0.25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spans="5:57" x14ac:dyDescent="0.25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spans="5:57" x14ac:dyDescent="0.25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</row>
    <row r="246" spans="5:57" x14ac:dyDescent="0.25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spans="5:57" x14ac:dyDescent="0.25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spans="5:57" x14ac:dyDescent="0.25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spans="5:57" x14ac:dyDescent="0.25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spans="5:57" x14ac:dyDescent="0.25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spans="5:57" x14ac:dyDescent="0.25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spans="5:57" x14ac:dyDescent="0.25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spans="5:57" x14ac:dyDescent="0.25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</row>
    <row r="254" spans="5:57" x14ac:dyDescent="0.25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spans="5:57" x14ac:dyDescent="0.25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spans="5:57" x14ac:dyDescent="0.25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spans="5:57" x14ac:dyDescent="0.25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spans="5:57" x14ac:dyDescent="0.25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spans="5:57" x14ac:dyDescent="0.25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spans="5:57" x14ac:dyDescent="0.25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spans="5:57" x14ac:dyDescent="0.25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spans="5:57" x14ac:dyDescent="0.25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spans="5:57" x14ac:dyDescent="0.25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spans="5:57" x14ac:dyDescent="0.25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spans="5:57" x14ac:dyDescent="0.25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spans="5:57" x14ac:dyDescent="0.25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spans="5:57" x14ac:dyDescent="0.25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spans="5:57" x14ac:dyDescent="0.25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5:57" x14ac:dyDescent="0.25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5:57" x14ac:dyDescent="0.25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5:57" x14ac:dyDescent="0.25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5:57" x14ac:dyDescent="0.25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5:57" x14ac:dyDescent="0.25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5:57" x14ac:dyDescent="0.25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5:57" x14ac:dyDescent="0.25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5:57" x14ac:dyDescent="0.25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spans="5:57" x14ac:dyDescent="0.25"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spans="5:57" x14ac:dyDescent="0.25"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spans="5:57" x14ac:dyDescent="0.25"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5:57" x14ac:dyDescent="0.25"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spans="5:57" x14ac:dyDescent="0.25"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spans="5:57" x14ac:dyDescent="0.25"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5:57" x14ac:dyDescent="0.25"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5:57" x14ac:dyDescent="0.25"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5:57" x14ac:dyDescent="0.25"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5:57" x14ac:dyDescent="0.25"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spans="5:57" x14ac:dyDescent="0.25"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5:57" x14ac:dyDescent="0.25"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5:57" x14ac:dyDescent="0.25"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5:57" x14ac:dyDescent="0.25"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5:57" x14ac:dyDescent="0.25"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5:57" x14ac:dyDescent="0.25"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5:57" x14ac:dyDescent="0.25"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5:57" x14ac:dyDescent="0.25"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spans="5:57" x14ac:dyDescent="0.25"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5:57" x14ac:dyDescent="0.25"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5:57" x14ac:dyDescent="0.25"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5:57" x14ac:dyDescent="0.25"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spans="5:57" x14ac:dyDescent="0.25"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5:57" x14ac:dyDescent="0.25"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5:57" x14ac:dyDescent="0.25"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5:57" x14ac:dyDescent="0.25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5:57" x14ac:dyDescent="0.25"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spans="5:57" x14ac:dyDescent="0.25"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5:57" x14ac:dyDescent="0.25"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5:57" x14ac:dyDescent="0.25"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spans="5:57" x14ac:dyDescent="0.25"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spans="5:57" x14ac:dyDescent="0.25"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5:57" x14ac:dyDescent="0.25"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5:57" x14ac:dyDescent="0.25"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5:57" x14ac:dyDescent="0.25"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spans="5:57" x14ac:dyDescent="0.25"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5:57" x14ac:dyDescent="0.25"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spans="5:57" x14ac:dyDescent="0.25"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5:57" x14ac:dyDescent="0.25"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spans="5:57" x14ac:dyDescent="0.25"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spans="5:57" x14ac:dyDescent="0.25"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spans="5:57" x14ac:dyDescent="0.25"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spans="5:57" x14ac:dyDescent="0.25"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spans="5:57" x14ac:dyDescent="0.25"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5:57" x14ac:dyDescent="0.25"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spans="5:57" x14ac:dyDescent="0.25"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spans="5:57" x14ac:dyDescent="0.25"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spans="5:57" x14ac:dyDescent="0.25"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spans="5:57" x14ac:dyDescent="0.25"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spans="5:57" x14ac:dyDescent="0.25"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5:57" x14ac:dyDescent="0.25"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spans="5:57" x14ac:dyDescent="0.25"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5:57" x14ac:dyDescent="0.25"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5:57" x14ac:dyDescent="0.25"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5:57" x14ac:dyDescent="0.25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</row>
    <row r="332" spans="5:57" x14ac:dyDescent="0.25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</row>
    <row r="333" spans="5:57" x14ac:dyDescent="0.25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</row>
    <row r="334" spans="5:57" x14ac:dyDescent="0.25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</row>
    <row r="335" spans="5:57" x14ac:dyDescent="0.25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</row>
    <row r="336" spans="5:57" x14ac:dyDescent="0.25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</row>
    <row r="337" spans="5:57" x14ac:dyDescent="0.25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</row>
    <row r="338" spans="5:57" x14ac:dyDescent="0.25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</row>
    <row r="339" spans="5:57" x14ac:dyDescent="0.25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</row>
    <row r="340" spans="5:57" x14ac:dyDescent="0.25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</row>
    <row r="341" spans="5:57" x14ac:dyDescent="0.25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</row>
    <row r="342" spans="5:57" x14ac:dyDescent="0.25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</row>
    <row r="343" spans="5:57" x14ac:dyDescent="0.25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</row>
    <row r="344" spans="5:57" x14ac:dyDescent="0.25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</row>
    <row r="345" spans="5:57" x14ac:dyDescent="0.25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</row>
    <row r="346" spans="5:57" x14ac:dyDescent="0.25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</row>
    <row r="347" spans="5:57" x14ac:dyDescent="0.25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</row>
    <row r="348" spans="5:57" x14ac:dyDescent="0.25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</row>
    <row r="349" spans="5:57" x14ac:dyDescent="0.25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</row>
    <row r="350" spans="5:57" x14ac:dyDescent="0.25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</row>
    <row r="351" spans="5:57" x14ac:dyDescent="0.25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</row>
    <row r="352" spans="5:57" x14ac:dyDescent="0.25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5:57" x14ac:dyDescent="0.25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5:57" x14ac:dyDescent="0.25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5:57" x14ac:dyDescent="0.25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5:57" x14ac:dyDescent="0.25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5:57" x14ac:dyDescent="0.25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5:57" x14ac:dyDescent="0.25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5:57" x14ac:dyDescent="0.25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5:57" x14ac:dyDescent="0.25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</row>
    <row r="361" spans="5:57" x14ac:dyDescent="0.25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spans="5:57" x14ac:dyDescent="0.25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</row>
    <row r="363" spans="5:57" x14ac:dyDescent="0.25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</row>
    <row r="364" spans="5:57" x14ac:dyDescent="0.25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</row>
    <row r="365" spans="5:57" x14ac:dyDescent="0.25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</row>
    <row r="366" spans="5:57" x14ac:dyDescent="0.25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</row>
    <row r="367" spans="5:57" x14ac:dyDescent="0.25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5:57" x14ac:dyDescent="0.25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5:57" x14ac:dyDescent="0.25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5:57" x14ac:dyDescent="0.25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5:57" x14ac:dyDescent="0.25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5:57" x14ac:dyDescent="0.25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5:57" x14ac:dyDescent="0.25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5:57" x14ac:dyDescent="0.25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5:57" x14ac:dyDescent="0.25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5:57" x14ac:dyDescent="0.25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5:57" x14ac:dyDescent="0.25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5:57" x14ac:dyDescent="0.25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5:57" x14ac:dyDescent="0.25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5:57" x14ac:dyDescent="0.25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5:57" x14ac:dyDescent="0.25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5:57" x14ac:dyDescent="0.25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5:57" x14ac:dyDescent="0.25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5:57" x14ac:dyDescent="0.25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5:57" x14ac:dyDescent="0.25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5:57" x14ac:dyDescent="0.25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5:57" x14ac:dyDescent="0.25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5:57" x14ac:dyDescent="0.25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5:57" x14ac:dyDescent="0.25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5:57" x14ac:dyDescent="0.25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5:57" x14ac:dyDescent="0.25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5:57" x14ac:dyDescent="0.25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5:57" x14ac:dyDescent="0.25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</sheetData>
  <mergeCells count="5">
    <mergeCell ref="AX3:BE3"/>
    <mergeCell ref="N3:U3"/>
    <mergeCell ref="W3:AD3"/>
    <mergeCell ref="AF3:AM3"/>
    <mergeCell ref="AO3:AV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W70"/>
  <sheetViews>
    <sheetView zoomScale="85" zoomScaleNormal="85" workbookViewId="0"/>
  </sheetViews>
  <sheetFormatPr defaultRowHeight="15" x14ac:dyDescent="0.25"/>
  <cols>
    <col min="1" max="1" width="4" customWidth="1"/>
    <col min="2" max="2" width="3.28515625" customWidth="1"/>
    <col min="3" max="3" width="25.42578125" customWidth="1"/>
    <col min="4" max="4" width="9.28515625" bestFit="1" customWidth="1"/>
    <col min="5" max="5" width="10.28515625" customWidth="1"/>
    <col min="6" max="6" width="9.42578125" customWidth="1"/>
    <col min="7" max="8" width="9" bestFit="1" customWidth="1"/>
    <col min="9" max="12" width="9" customWidth="1"/>
  </cols>
  <sheetData>
    <row r="1" spans="2:13" x14ac:dyDescent="0.25">
      <c r="B1" s="22" t="s">
        <v>216</v>
      </c>
    </row>
    <row r="3" spans="2:13" x14ac:dyDescent="0.25">
      <c r="B3" s="25" t="s">
        <v>584</v>
      </c>
    </row>
    <row r="4" spans="2:13" x14ac:dyDescent="0.25">
      <c r="I4" s="444" t="s">
        <v>525</v>
      </c>
      <c r="M4" s="444" t="s">
        <v>526</v>
      </c>
    </row>
    <row r="5" spans="2:13" x14ac:dyDescent="0.25">
      <c r="B5" t="s">
        <v>117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44" t="s">
        <v>6</v>
      </c>
      <c r="J5" s="409">
        <v>2021</v>
      </c>
      <c r="K5" s="409">
        <v>2022</v>
      </c>
      <c r="L5" s="409">
        <v>2023</v>
      </c>
      <c r="M5" s="4" t="s">
        <v>6</v>
      </c>
    </row>
    <row r="6" spans="2:13" x14ac:dyDescent="0.25">
      <c r="B6" t="s">
        <v>18</v>
      </c>
    </row>
    <row r="7" spans="2:13" x14ac:dyDescent="0.25">
      <c r="C7" t="s">
        <v>42</v>
      </c>
      <c r="D7" s="27">
        <f>Direct_Capex_Composition!AX120</f>
        <v>0</v>
      </c>
      <c r="E7" s="27">
        <f>Direct_Capex_Composition!AY120</f>
        <v>0</v>
      </c>
      <c r="F7" s="27">
        <f>Direct_Capex_Composition!AZ120</f>
        <v>0</v>
      </c>
      <c r="G7" s="27">
        <f>Direct_Capex_Composition!BA120</f>
        <v>4180.9444100394148</v>
      </c>
      <c r="H7" s="27">
        <f>Direct_Capex_Composition!BB120</f>
        <v>13842.587748323147</v>
      </c>
      <c r="I7" s="27">
        <f>SUM(D7:H7)</f>
        <v>18023.532158362563</v>
      </c>
      <c r="J7" s="27">
        <f>Direct_Capex_Composition!BC120</f>
        <v>19820.544400332579</v>
      </c>
      <c r="K7" s="27">
        <f>Direct_Capex_Composition!BD120</f>
        <v>10855.646235114282</v>
      </c>
      <c r="L7" s="27">
        <f>Direct_Capex_Composition!BE120</f>
        <v>0</v>
      </c>
      <c r="M7" s="28">
        <f>SUM(J7:L7)</f>
        <v>30676.190635446859</v>
      </c>
    </row>
    <row r="8" spans="2:13" x14ac:dyDescent="0.25">
      <c r="C8" t="s">
        <v>44</v>
      </c>
      <c r="D8" s="27">
        <f>Direct_Capex_Composition!AX121</f>
        <v>0</v>
      </c>
      <c r="E8" s="27">
        <f>Direct_Capex_Composition!AY121</f>
        <v>0</v>
      </c>
      <c r="F8" s="27">
        <f>Direct_Capex_Composition!AZ121</f>
        <v>0</v>
      </c>
      <c r="G8" s="27">
        <f>Direct_Capex_Composition!BA121</f>
        <v>0</v>
      </c>
      <c r="H8" s="27">
        <f>Direct_Capex_Composition!BB121</f>
        <v>0</v>
      </c>
      <c r="I8" s="27">
        <f>SUM(D8:H8)</f>
        <v>0</v>
      </c>
      <c r="J8" s="27">
        <f>Direct_Capex_Composition!BC121</f>
        <v>0</v>
      </c>
      <c r="K8" s="27">
        <f>Direct_Capex_Composition!BD121</f>
        <v>0</v>
      </c>
      <c r="L8" s="27">
        <f>Direct_Capex_Composition!BE121</f>
        <v>0</v>
      </c>
      <c r="M8" s="28">
        <f>SUM(J8:L8)</f>
        <v>0</v>
      </c>
    </row>
    <row r="9" spans="2:13" x14ac:dyDescent="0.25">
      <c r="C9" t="s">
        <v>118</v>
      </c>
      <c r="D9" s="115">
        <f>SUM(D7:D8)</f>
        <v>0</v>
      </c>
      <c r="E9" s="115">
        <f t="shared" ref="E9:M9" si="0">SUM(E7:E8)</f>
        <v>0</v>
      </c>
      <c r="F9" s="115">
        <f t="shared" si="0"/>
        <v>0</v>
      </c>
      <c r="G9" s="115">
        <f t="shared" si="0"/>
        <v>4180.9444100394148</v>
      </c>
      <c r="H9" s="115">
        <f t="shared" si="0"/>
        <v>13842.587748323147</v>
      </c>
      <c r="I9" s="115">
        <f t="shared" si="0"/>
        <v>18023.532158362563</v>
      </c>
      <c r="J9" s="115">
        <f>SUM(J7:J8)</f>
        <v>19820.544400332579</v>
      </c>
      <c r="K9" s="115">
        <f>SUM(K7:K8)</f>
        <v>10855.646235114282</v>
      </c>
      <c r="L9" s="115">
        <f>SUM(L7:L8)</f>
        <v>0</v>
      </c>
      <c r="M9" s="115">
        <f t="shared" si="0"/>
        <v>30676.190635446859</v>
      </c>
    </row>
    <row r="10" spans="2:13" x14ac:dyDescent="0.25">
      <c r="B10" s="8" t="s">
        <v>19</v>
      </c>
      <c r="D10" s="27"/>
      <c r="E10" s="27"/>
      <c r="F10" s="27"/>
      <c r="G10" s="27"/>
      <c r="H10" s="27"/>
      <c r="I10" s="27"/>
      <c r="J10" s="27"/>
      <c r="K10" s="27"/>
      <c r="L10" s="27"/>
    </row>
    <row r="11" spans="2:13" x14ac:dyDescent="0.25">
      <c r="C11" t="s">
        <v>42</v>
      </c>
      <c r="D11" s="27">
        <f>Direct_Capex_Composition!AX124</f>
        <v>0</v>
      </c>
      <c r="E11" s="27">
        <f>Direct_Capex_Composition!AY124</f>
        <v>0</v>
      </c>
      <c r="F11" s="27">
        <f>Direct_Capex_Composition!AZ124</f>
        <v>0</v>
      </c>
      <c r="G11" s="27">
        <f>Direct_Capex_Composition!BA124</f>
        <v>1447.187173207114</v>
      </c>
      <c r="H11" s="27">
        <f>Direct_Capex_Composition!BB124</f>
        <v>4806.9305913022772</v>
      </c>
      <c r="I11" s="27">
        <f>SUM(D11:H11)</f>
        <v>6254.1177645093912</v>
      </c>
      <c r="J11" s="27">
        <f>Direct_Capex_Composition!BC124</f>
        <v>3991.6723214612762</v>
      </c>
      <c r="K11" s="27">
        <f>Direct_Capex_Composition!BD124</f>
        <v>3431.1991028443003</v>
      </c>
      <c r="L11" s="27">
        <f>Direct_Capex_Composition!BE124</f>
        <v>0</v>
      </c>
      <c r="M11" s="28">
        <f>SUM(J11:L11)</f>
        <v>7422.8714243055765</v>
      </c>
    </row>
    <row r="12" spans="2:13" x14ac:dyDescent="0.25">
      <c r="C12" t="s">
        <v>44</v>
      </c>
      <c r="D12" s="27">
        <f>Direct_Capex_Composition!AX125</f>
        <v>0</v>
      </c>
      <c r="E12" s="27">
        <f>Direct_Capex_Composition!AY125</f>
        <v>0</v>
      </c>
      <c r="F12" s="27">
        <f>Direct_Capex_Composition!AZ125</f>
        <v>226.2962962962963</v>
      </c>
      <c r="G12" s="27">
        <f>Direct_Capex_Composition!BA125</f>
        <v>1518.0235510146729</v>
      </c>
      <c r="H12" s="27">
        <f>Direct_Capex_Composition!BB125</f>
        <v>3666.5020454284754</v>
      </c>
      <c r="I12" s="27">
        <f>SUM(D12:H12)</f>
        <v>5410.8218927394446</v>
      </c>
      <c r="J12" s="27">
        <f>Direct_Capex_Composition!BC125</f>
        <v>8113.4988640354504</v>
      </c>
      <c r="K12" s="27">
        <f>Direct_Capex_Composition!BD125</f>
        <v>6733.0797731432376</v>
      </c>
      <c r="L12" s="27">
        <f>Direct_Capex_Composition!BE125</f>
        <v>0</v>
      </c>
      <c r="M12" s="28">
        <f>SUM(J12:L12)</f>
        <v>14846.578637178689</v>
      </c>
    </row>
    <row r="13" spans="2:13" x14ac:dyDescent="0.25">
      <c r="C13" t="s">
        <v>118</v>
      </c>
      <c r="D13" s="115">
        <f t="shared" ref="D13:M13" si="1">SUM(D11:D12)</f>
        <v>0</v>
      </c>
      <c r="E13" s="115">
        <f t="shared" si="1"/>
        <v>0</v>
      </c>
      <c r="F13" s="115">
        <f t="shared" si="1"/>
        <v>226.2962962962963</v>
      </c>
      <c r="G13" s="115">
        <f t="shared" si="1"/>
        <v>2965.2107242217871</v>
      </c>
      <c r="H13" s="115">
        <f t="shared" si="1"/>
        <v>8473.4326367307531</v>
      </c>
      <c r="I13" s="115">
        <f t="shared" si="1"/>
        <v>11664.939657248837</v>
      </c>
      <c r="J13" s="115">
        <f t="shared" si="1"/>
        <v>12105.171185496727</v>
      </c>
      <c r="K13" s="115">
        <f t="shared" si="1"/>
        <v>10164.278875987538</v>
      </c>
      <c r="L13" s="115">
        <f t="shared" si="1"/>
        <v>0</v>
      </c>
      <c r="M13" s="115">
        <f t="shared" si="1"/>
        <v>22269.450061484265</v>
      </c>
    </row>
    <row r="14" spans="2:13" x14ac:dyDescent="0.25">
      <c r="B14" s="8" t="s">
        <v>22</v>
      </c>
      <c r="D14" s="27"/>
      <c r="E14" s="27"/>
      <c r="F14" s="27"/>
      <c r="G14" s="27"/>
      <c r="H14" s="27"/>
      <c r="I14" s="27"/>
      <c r="J14" s="27"/>
      <c r="K14" s="27"/>
      <c r="L14" s="27"/>
    </row>
    <row r="15" spans="2:13" x14ac:dyDescent="0.25">
      <c r="C15" t="s">
        <v>42</v>
      </c>
      <c r="D15" s="27">
        <f>Direct_Capex_Composition!AX128</f>
        <v>0</v>
      </c>
      <c r="E15" s="27">
        <f>Direct_Capex_Composition!AY128</f>
        <v>0</v>
      </c>
      <c r="F15" s="27">
        <f>Direct_Capex_Composition!AZ128</f>
        <v>0</v>
      </c>
      <c r="G15" s="27">
        <f>Direct_Capex_Composition!BA128</f>
        <v>1912.1910851927521</v>
      </c>
      <c r="H15" s="27">
        <f>Direct_Capex_Composition!BB128</f>
        <v>4902.43640813615</v>
      </c>
      <c r="I15" s="27">
        <f>SUM(D15:H15)</f>
        <v>6814.6274933289023</v>
      </c>
      <c r="J15" s="27">
        <f>Direct_Capex_Composition!BC128</f>
        <v>6904.9411922770842</v>
      </c>
      <c r="K15" s="27">
        <f>Direct_Capex_Composition!BD128</f>
        <v>3517.1897858063612</v>
      </c>
      <c r="L15" s="27">
        <f>Direct_Capex_Composition!BE128</f>
        <v>0</v>
      </c>
      <c r="M15" s="28">
        <f>SUM(J15:L15)</f>
        <v>10422.130978083445</v>
      </c>
    </row>
    <row r="16" spans="2:13" x14ac:dyDescent="0.25">
      <c r="C16" t="s">
        <v>44</v>
      </c>
      <c r="D16" s="27">
        <f>Direct_Capex_Composition!AX129</f>
        <v>0</v>
      </c>
      <c r="E16" s="27">
        <f>Direct_Capex_Composition!AY129</f>
        <v>0</v>
      </c>
      <c r="F16" s="27">
        <f>Direct_Capex_Composition!AZ129</f>
        <v>0</v>
      </c>
      <c r="G16" s="27">
        <f>Direct_Capex_Composition!BA129</f>
        <v>0</v>
      </c>
      <c r="H16" s="27">
        <f>Direct_Capex_Composition!BB129</f>
        <v>8.1160022148394226</v>
      </c>
      <c r="I16" s="27">
        <f>SUM(D16:H16)</f>
        <v>8.1160022148394226</v>
      </c>
      <c r="J16" s="27">
        <f>Direct_Capex_Composition!BC129</f>
        <v>69.797619047619037</v>
      </c>
      <c r="K16" s="27">
        <f>Direct_Capex_Composition!BD129</f>
        <v>45.449612403100765</v>
      </c>
      <c r="L16" s="27">
        <f>Direct_Capex_Composition!BE129</f>
        <v>0</v>
      </c>
      <c r="M16" s="28">
        <f>SUM(J16:L16)</f>
        <v>115.2472314507198</v>
      </c>
    </row>
    <row r="17" spans="2:23" x14ac:dyDescent="0.25">
      <c r="C17" t="s">
        <v>118</v>
      </c>
      <c r="D17" s="115">
        <f t="shared" ref="D17:M17" si="2">SUM(D15:D16)</f>
        <v>0</v>
      </c>
      <c r="E17" s="115">
        <f t="shared" si="2"/>
        <v>0</v>
      </c>
      <c r="F17" s="115">
        <f t="shared" si="2"/>
        <v>0</v>
      </c>
      <c r="G17" s="115">
        <f t="shared" si="2"/>
        <v>1912.1910851927521</v>
      </c>
      <c r="H17" s="115">
        <f t="shared" si="2"/>
        <v>4910.5524103509897</v>
      </c>
      <c r="I17" s="115">
        <f t="shared" si="2"/>
        <v>6822.743495543742</v>
      </c>
      <c r="J17" s="115">
        <f t="shared" si="2"/>
        <v>6974.7388113247034</v>
      </c>
      <c r="K17" s="115">
        <f t="shared" si="2"/>
        <v>3562.6393982094619</v>
      </c>
      <c r="L17" s="115">
        <f t="shared" si="2"/>
        <v>0</v>
      </c>
      <c r="M17" s="115">
        <f t="shared" si="2"/>
        <v>10537.378209534165</v>
      </c>
    </row>
    <row r="18" spans="2:23" x14ac:dyDescent="0.25">
      <c r="B18" s="172" t="s">
        <v>83</v>
      </c>
      <c r="D18" s="175"/>
      <c r="E18" s="175"/>
      <c r="F18" s="175"/>
      <c r="G18" s="175"/>
      <c r="H18" s="175"/>
      <c r="I18" s="450"/>
      <c r="J18" s="175"/>
      <c r="K18" s="175"/>
      <c r="L18" s="175"/>
      <c r="M18" s="175"/>
    </row>
    <row r="19" spans="2:23" x14ac:dyDescent="0.25">
      <c r="C19" s="172" t="s">
        <v>159</v>
      </c>
      <c r="D19" s="150">
        <f>Direct_Capex_Composition!AX132</f>
        <v>0</v>
      </c>
      <c r="E19" s="150">
        <f>Direct_Capex_Composition!AY132</f>
        <v>0</v>
      </c>
      <c r="F19" s="150">
        <f>Direct_Capex_Composition!AZ132</f>
        <v>0</v>
      </c>
      <c r="G19" s="150">
        <f>Direct_Capex_Composition!BA132</f>
        <v>0</v>
      </c>
      <c r="H19" s="150">
        <f>Direct_Capex_Composition!BB132</f>
        <v>0</v>
      </c>
      <c r="I19" s="150">
        <f>SUM(D19:H19)</f>
        <v>0</v>
      </c>
      <c r="J19" s="150">
        <f>Direct_Capex_Composition!BC132</f>
        <v>0</v>
      </c>
      <c r="K19" s="150">
        <f>Direct_Capex_Composition!BD132</f>
        <v>0</v>
      </c>
      <c r="L19" s="150">
        <f>Direct_Capex_Composition!BE132</f>
        <v>0</v>
      </c>
      <c r="M19" s="28">
        <f>SUM(J19:L19)</f>
        <v>0</v>
      </c>
    </row>
    <row r="20" spans="2:23" x14ac:dyDescent="0.25">
      <c r="C20" s="172" t="s">
        <v>158</v>
      </c>
      <c r="D20" s="150">
        <f>Direct_Capex_Composition!AX133</f>
        <v>0</v>
      </c>
      <c r="E20" s="150">
        <f>Direct_Capex_Composition!AY133</f>
        <v>0</v>
      </c>
      <c r="F20" s="150">
        <f>Direct_Capex_Composition!AZ133</f>
        <v>0</v>
      </c>
      <c r="G20" s="150">
        <f>Direct_Capex_Composition!BA133</f>
        <v>0</v>
      </c>
      <c r="H20" s="150">
        <f>Direct_Capex_Composition!BB133</f>
        <v>0</v>
      </c>
      <c r="I20" s="150">
        <f>SUM(D20:H20)</f>
        <v>0</v>
      </c>
      <c r="J20" s="150">
        <f>Direct_Capex_Composition!BC133</f>
        <v>0</v>
      </c>
      <c r="K20" s="150">
        <f>Direct_Capex_Composition!BD133</f>
        <v>0</v>
      </c>
      <c r="L20" s="150">
        <f>Direct_Capex_Composition!BE133</f>
        <v>0</v>
      </c>
      <c r="M20" s="28">
        <f>SUM(J20:L20)</f>
        <v>0</v>
      </c>
    </row>
    <row r="21" spans="2:23" x14ac:dyDescent="0.25">
      <c r="C21" s="172" t="s">
        <v>211</v>
      </c>
      <c r="D21" s="150">
        <f>Direct_Capex_Composition!AX134</f>
        <v>0</v>
      </c>
      <c r="E21" s="150">
        <f>Direct_Capex_Composition!AY134</f>
        <v>0</v>
      </c>
      <c r="F21" s="150">
        <f>Direct_Capex_Composition!AZ134</f>
        <v>0</v>
      </c>
      <c r="G21" s="150">
        <f>Direct_Capex_Composition!BA134</f>
        <v>36.800533017166039</v>
      </c>
      <c r="H21" s="150">
        <f>Direct_Capex_Composition!BB134</f>
        <v>3407.4956604321083</v>
      </c>
      <c r="I21" s="150">
        <f>SUM(D21:H21)</f>
        <v>3444.2961934492741</v>
      </c>
      <c r="J21" s="150">
        <f>Direct_Capex_Composition!BC134</f>
        <v>59.66220945773199</v>
      </c>
      <c r="K21" s="150">
        <f>Direct_Capex_Composition!BD134</f>
        <v>44.000879475077348</v>
      </c>
      <c r="L21" s="150">
        <f>Direct_Capex_Composition!BE134</f>
        <v>0</v>
      </c>
      <c r="M21" s="28">
        <f>SUM(J21:L21)</f>
        <v>103.66308893280933</v>
      </c>
    </row>
    <row r="22" spans="2:23" x14ac:dyDescent="0.25">
      <c r="C22" s="172" t="s">
        <v>118</v>
      </c>
      <c r="D22" s="175">
        <f>SUM(D19:D21)</f>
        <v>0</v>
      </c>
      <c r="E22" s="175">
        <f>SUM(E19:E21)</f>
        <v>0</v>
      </c>
      <c r="F22" s="175">
        <f t="shared" ref="F22:M22" si="3">SUM(F19:F21)</f>
        <v>0</v>
      </c>
      <c r="G22" s="175">
        <f t="shared" si="3"/>
        <v>36.800533017166039</v>
      </c>
      <c r="H22" s="175">
        <f t="shared" si="3"/>
        <v>3407.4956604321083</v>
      </c>
      <c r="I22" s="175">
        <f>SUM(I19:I21)</f>
        <v>3444.2961934492741</v>
      </c>
      <c r="J22" s="175">
        <f>SUM(J19:J21)</f>
        <v>59.66220945773199</v>
      </c>
      <c r="K22" s="175">
        <f>SUM(K19:K21)</f>
        <v>44.000879475077348</v>
      </c>
      <c r="L22" s="175">
        <f>SUM(L19:L21)</f>
        <v>0</v>
      </c>
      <c r="M22" s="175">
        <f t="shared" si="3"/>
        <v>103.66308893280933</v>
      </c>
    </row>
    <row r="23" spans="2:23" ht="15.75" thickBot="1" x14ac:dyDescent="0.3">
      <c r="B23" s="25" t="s">
        <v>119</v>
      </c>
      <c r="D23" s="148">
        <f>D9+D13+D17+D22</f>
        <v>0</v>
      </c>
      <c r="E23" s="148">
        <f t="shared" ref="E23:M23" si="4">E9+E13+E17+E22</f>
        <v>0</v>
      </c>
      <c r="F23" s="148">
        <f t="shared" si="4"/>
        <v>226.2962962962963</v>
      </c>
      <c r="G23" s="148">
        <f t="shared" si="4"/>
        <v>9095.1467524711188</v>
      </c>
      <c r="H23" s="148">
        <f t="shared" si="4"/>
        <v>30634.068455836998</v>
      </c>
      <c r="I23" s="148">
        <f>I9+I13+I17+I22</f>
        <v>39955.511504604423</v>
      </c>
      <c r="J23" s="148">
        <f>J9+J13+J17+J22</f>
        <v>38960.116606611744</v>
      </c>
      <c r="K23" s="148">
        <f>K9+K13+K17+K22</f>
        <v>24626.565388786359</v>
      </c>
      <c r="L23" s="148">
        <f>L9+L13+L17+L22</f>
        <v>0</v>
      </c>
      <c r="M23" s="148">
        <f t="shared" si="4"/>
        <v>63586.681995398096</v>
      </c>
      <c r="Q23" s="372"/>
      <c r="R23" s="372"/>
      <c r="S23" s="372"/>
      <c r="T23" s="372"/>
      <c r="U23" s="372"/>
      <c r="V23" s="372"/>
      <c r="W23" s="46"/>
    </row>
    <row r="24" spans="2:23" x14ac:dyDescent="0.25">
      <c r="B24" s="199" t="s">
        <v>72</v>
      </c>
      <c r="D24" s="150">
        <f>D23-Direct_Capex_Composition!AX136</f>
        <v>0</v>
      </c>
      <c r="E24" s="150">
        <f>E23-Direct_Capex_Composition!AY136</f>
        <v>0</v>
      </c>
      <c r="F24" s="150">
        <f>F23-Direct_Capex_Composition!AZ136</f>
        <v>0</v>
      </c>
      <c r="G24" s="150">
        <f>G23-Direct_Capex_Composition!BA136</f>
        <v>0</v>
      </c>
      <c r="H24" s="150">
        <f>H23-Direct_Capex_Composition!BB136</f>
        <v>0</v>
      </c>
      <c r="I24" s="150"/>
      <c r="J24" s="150">
        <f>J23-Direct_Capex_Composition!BC136</f>
        <v>0</v>
      </c>
      <c r="K24" s="150">
        <f>K23-Direct_Capex_Composition!BD136</f>
        <v>0</v>
      </c>
      <c r="L24" s="150">
        <f>L23-Direct_Capex_Composition!BE136</f>
        <v>0</v>
      </c>
      <c r="M24" s="150">
        <f>I23+M23-Direct_Capex_Composition!BG136</f>
        <v>0</v>
      </c>
    </row>
    <row r="25" spans="2:23" x14ac:dyDescent="0.25">
      <c r="B25" s="54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2:23" x14ac:dyDescent="0.25">
      <c r="B26" s="25" t="s">
        <v>585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23" x14ac:dyDescent="0.25">
      <c r="B27" s="25"/>
      <c r="D27" s="27"/>
      <c r="E27" s="27"/>
      <c r="F27" s="27"/>
      <c r="G27" s="27"/>
      <c r="H27" s="27"/>
      <c r="I27" s="444" t="s">
        <v>525</v>
      </c>
      <c r="J27" s="27"/>
      <c r="K27" s="27"/>
      <c r="L27" s="27"/>
      <c r="M27" s="444" t="s">
        <v>526</v>
      </c>
    </row>
    <row r="28" spans="2:23" x14ac:dyDescent="0.25">
      <c r="B28" t="s">
        <v>117</v>
      </c>
      <c r="D28" s="4">
        <v>2016</v>
      </c>
      <c r="E28" s="4">
        <v>2017</v>
      </c>
      <c r="F28" s="4">
        <v>2018</v>
      </c>
      <c r="G28" s="4">
        <v>2019</v>
      </c>
      <c r="H28" s="4">
        <v>2020</v>
      </c>
      <c r="I28" s="444" t="s">
        <v>6</v>
      </c>
      <c r="J28" s="409">
        <v>2021</v>
      </c>
      <c r="K28" s="409">
        <v>2022</v>
      </c>
      <c r="L28" s="409">
        <v>2023</v>
      </c>
      <c r="M28" s="4" t="s">
        <v>6</v>
      </c>
    </row>
    <row r="29" spans="2:23" x14ac:dyDescent="0.25">
      <c r="B29" t="s">
        <v>18</v>
      </c>
    </row>
    <row r="30" spans="2:23" x14ac:dyDescent="0.25">
      <c r="C30" t="s">
        <v>42</v>
      </c>
      <c r="D30" s="27">
        <f>Direct_Capex_Composition!W120*(Escalators!D$32-1)+Direct_Capex_Composition!AF120*(Escalators!D$33-1)</f>
        <v>0</v>
      </c>
      <c r="E30" s="27">
        <f>Direct_Capex_Composition!X120*(Escalators!E$32-1)+Direct_Capex_Composition!AG120*(Escalators!E$33-1)</f>
        <v>0</v>
      </c>
      <c r="F30" s="27">
        <f>Direct_Capex_Composition!Y120*(Escalators!F$32-1)+Direct_Capex_Composition!AH120*(Escalators!F$33-1)</f>
        <v>0</v>
      </c>
      <c r="G30" s="27">
        <f>Direct_Capex_Composition!Z120*(Escalators!G$32-1)+Direct_Capex_Composition!AI120*(Escalators!G$33-1)</f>
        <v>91.090395929486206</v>
      </c>
      <c r="H30" s="27">
        <f>Direct_Capex_Composition!AA120*(Escalators!H$32-1)+Direct_Capex_Composition!AJ120*(Escalators!H$33-1)</f>
        <v>336.30373888017357</v>
      </c>
      <c r="I30" s="27">
        <f>SUM(D30:H30)</f>
        <v>427.39413480965976</v>
      </c>
      <c r="J30" s="462"/>
      <c r="K30" s="462"/>
      <c r="L30" s="462"/>
      <c r="M30" s="28">
        <f>SUM(J30:L30)</f>
        <v>0</v>
      </c>
    </row>
    <row r="31" spans="2:23" x14ac:dyDescent="0.25">
      <c r="C31" t="s">
        <v>44</v>
      </c>
      <c r="D31" s="27">
        <f>Direct_Capex_Composition!W121*(Escalators!D$32-1)+Direct_Capex_Composition!AF121*(Escalators!D$33-1)</f>
        <v>0</v>
      </c>
      <c r="E31" s="27">
        <f>Direct_Capex_Composition!X121*(Escalators!E$32-1)+Direct_Capex_Composition!AG121*(Escalators!E$33-1)</f>
        <v>0</v>
      </c>
      <c r="F31" s="27">
        <f>Direct_Capex_Composition!Y121*(Escalators!F$32-1)+Direct_Capex_Composition!AH121*(Escalators!F$33-1)</f>
        <v>0</v>
      </c>
      <c r="G31" s="27">
        <f>Direct_Capex_Composition!Z121*(Escalators!G$32-1)+Direct_Capex_Composition!AI121*(Escalators!G$33-1)</f>
        <v>0</v>
      </c>
      <c r="H31" s="27">
        <f>Direct_Capex_Composition!AA121*(Escalators!H$32-1)+Direct_Capex_Composition!AJ121*(Escalators!H$33-1)</f>
        <v>0</v>
      </c>
      <c r="I31" s="27">
        <f>SUM(D31:H31)</f>
        <v>0</v>
      </c>
      <c r="J31" s="462"/>
      <c r="K31" s="462"/>
      <c r="L31" s="462"/>
      <c r="M31" s="28">
        <f>SUM(J31:L31)</f>
        <v>0</v>
      </c>
    </row>
    <row r="32" spans="2:23" x14ac:dyDescent="0.25">
      <c r="C32" t="s">
        <v>118</v>
      </c>
      <c r="D32" s="115">
        <f t="shared" ref="D32:M32" si="5">SUM(D30:D31)</f>
        <v>0</v>
      </c>
      <c r="E32" s="115">
        <f t="shared" si="5"/>
        <v>0</v>
      </c>
      <c r="F32" s="115">
        <f t="shared" si="5"/>
        <v>0</v>
      </c>
      <c r="G32" s="115">
        <f t="shared" si="5"/>
        <v>91.090395929486206</v>
      </c>
      <c r="H32" s="115">
        <f t="shared" si="5"/>
        <v>336.30373888017357</v>
      </c>
      <c r="I32" s="115">
        <f t="shared" si="5"/>
        <v>427.39413480965976</v>
      </c>
      <c r="J32" s="115">
        <f t="shared" si="5"/>
        <v>0</v>
      </c>
      <c r="K32" s="115">
        <f t="shared" si="5"/>
        <v>0</v>
      </c>
      <c r="L32" s="115">
        <f t="shared" si="5"/>
        <v>0</v>
      </c>
      <c r="M32" s="115">
        <f t="shared" si="5"/>
        <v>0</v>
      </c>
    </row>
    <row r="33" spans="2:14" x14ac:dyDescent="0.25">
      <c r="B33" s="8" t="s">
        <v>19</v>
      </c>
      <c r="D33" s="27"/>
      <c r="E33" s="27"/>
      <c r="F33" s="27"/>
      <c r="G33" s="27"/>
      <c r="H33" s="27"/>
      <c r="I33" s="27"/>
      <c r="J33" s="27"/>
      <c r="K33" s="27"/>
      <c r="L33" s="27"/>
    </row>
    <row r="34" spans="2:14" x14ac:dyDescent="0.25">
      <c r="C34" t="s">
        <v>42</v>
      </c>
      <c r="D34" s="27">
        <f>Direct_Capex_Composition!W124*(Escalators!D$32-1)+Direct_Capex_Composition!AF124*(Escalators!D$33-1)</f>
        <v>0</v>
      </c>
      <c r="E34" s="27">
        <f>Direct_Capex_Composition!X124*(Escalators!E$32-1)+Direct_Capex_Composition!AG124*(Escalators!E$33-1)</f>
        <v>0</v>
      </c>
      <c r="F34" s="27">
        <f>Direct_Capex_Composition!Y124*(Escalators!F$32-1)+Direct_Capex_Composition!AH124*(Escalators!F$33-1)</f>
        <v>0</v>
      </c>
      <c r="G34" s="27">
        <f>Direct_Capex_Composition!Z124*(Escalators!G$32-1)+Direct_Capex_Composition!AI124*(Escalators!G$33-1)</f>
        <v>25.712397817214026</v>
      </c>
      <c r="H34" s="27">
        <f>Direct_Capex_Composition!AA124*(Escalators!H$32-1)+Direct_Capex_Composition!AJ124*(Escalators!H$33-1)</f>
        <v>77.268634469161938</v>
      </c>
      <c r="I34" s="27">
        <f>SUM(D34:H34)</f>
        <v>102.98103228637596</v>
      </c>
      <c r="J34" s="462"/>
      <c r="K34" s="462"/>
      <c r="L34" s="462"/>
      <c r="M34" s="28">
        <f>SUM(J34:L34)</f>
        <v>0</v>
      </c>
    </row>
    <row r="35" spans="2:14" x14ac:dyDescent="0.25">
      <c r="C35" t="s">
        <v>44</v>
      </c>
      <c r="D35" s="27">
        <f>Direct_Capex_Composition!W125*(Escalators!D$32-1)+Direct_Capex_Composition!AF125*(Escalators!D$33-1)</f>
        <v>0</v>
      </c>
      <c r="E35" s="27">
        <f>Direct_Capex_Composition!X125*(Escalators!E$32-1)+Direct_Capex_Composition!AG125*(Escalators!E$33-1)</f>
        <v>0</v>
      </c>
      <c r="F35" s="27">
        <f>Direct_Capex_Composition!Y125*(Escalators!F$32-1)+Direct_Capex_Composition!AH125*(Escalators!F$33-1)</f>
        <v>1.3745530286152872</v>
      </c>
      <c r="G35" s="27">
        <f>Direct_Capex_Composition!Z125*(Escalators!G$32-1)+Direct_Capex_Composition!AI125*(Escalators!G$33-1)</f>
        <v>28.685038594540046</v>
      </c>
      <c r="H35" s="27">
        <f>Direct_Capex_Composition!AA125*(Escalators!H$32-1)+Direct_Capex_Composition!AJ125*(Escalators!H$33-1)</f>
        <v>52.851666530157146</v>
      </c>
      <c r="I35" s="27">
        <f>SUM(D35:H35)</f>
        <v>82.911258153312474</v>
      </c>
      <c r="J35" s="462"/>
      <c r="K35" s="462"/>
      <c r="L35" s="462"/>
      <c r="M35" s="28">
        <f>SUM(J35:L35)</f>
        <v>0</v>
      </c>
    </row>
    <row r="36" spans="2:14" x14ac:dyDescent="0.25">
      <c r="C36" t="s">
        <v>118</v>
      </c>
      <c r="D36" s="115">
        <f t="shared" ref="D36:M36" si="6">SUM(D34:D35)</f>
        <v>0</v>
      </c>
      <c r="E36" s="115">
        <f t="shared" si="6"/>
        <v>0</v>
      </c>
      <c r="F36" s="115">
        <f t="shared" si="6"/>
        <v>1.3745530286152872</v>
      </c>
      <c r="G36" s="115">
        <f t="shared" si="6"/>
        <v>54.397436411754072</v>
      </c>
      <c r="H36" s="115">
        <f t="shared" si="6"/>
        <v>130.12030099931908</v>
      </c>
      <c r="I36" s="115">
        <f t="shared" si="6"/>
        <v>185.89229043968845</v>
      </c>
      <c r="J36" s="115">
        <f t="shared" si="6"/>
        <v>0</v>
      </c>
      <c r="K36" s="115">
        <f t="shared" si="6"/>
        <v>0</v>
      </c>
      <c r="L36" s="115">
        <f t="shared" si="6"/>
        <v>0</v>
      </c>
      <c r="M36" s="115">
        <f t="shared" si="6"/>
        <v>0</v>
      </c>
    </row>
    <row r="37" spans="2:14" x14ac:dyDescent="0.25">
      <c r="B37" s="8" t="s">
        <v>22</v>
      </c>
      <c r="D37" s="27"/>
      <c r="E37" s="27"/>
      <c r="F37" s="27"/>
      <c r="G37" s="27"/>
      <c r="H37" s="27"/>
      <c r="I37" s="27"/>
      <c r="J37" s="27"/>
      <c r="K37" s="27"/>
      <c r="L37" s="27"/>
    </row>
    <row r="38" spans="2:14" x14ac:dyDescent="0.25">
      <c r="C38" t="s">
        <v>42</v>
      </c>
      <c r="D38" s="27">
        <f>Direct_Capex_Composition!W128*(Escalators!D$32-1)+Direct_Capex_Composition!AF128*(Escalators!D$33-1)</f>
        <v>0</v>
      </c>
      <c r="E38" s="27">
        <f>Direct_Capex_Composition!X128*(Escalators!E$32-1)+Direct_Capex_Composition!AG128*(Escalators!E$33-1)</f>
        <v>0</v>
      </c>
      <c r="F38" s="27">
        <f>Direct_Capex_Composition!Y128*(Escalators!F$32-1)+Direct_Capex_Composition!AH128*(Escalators!F$33-1)</f>
        <v>0</v>
      </c>
      <c r="G38" s="27">
        <f>Direct_Capex_Composition!Z128*(Escalators!G$32-1)+Direct_Capex_Composition!AI128*(Escalators!G$33-1)</f>
        <v>32.8931103315131</v>
      </c>
      <c r="H38" s="27">
        <f>Direct_Capex_Composition!AA128*(Escalators!H$32-1)+Direct_Capex_Composition!AJ128*(Escalators!H$33-1)</f>
        <v>92.616465244735124</v>
      </c>
      <c r="I38" s="27">
        <f>SUM(D38:H38)</f>
        <v>125.50957557624822</v>
      </c>
      <c r="J38" s="462"/>
      <c r="K38" s="462"/>
      <c r="L38" s="462"/>
      <c r="M38" s="28">
        <f>SUM(J38:L38)</f>
        <v>0</v>
      </c>
    </row>
    <row r="39" spans="2:14" x14ac:dyDescent="0.25">
      <c r="C39" t="s">
        <v>44</v>
      </c>
      <c r="D39" s="27">
        <f>Direct_Capex_Composition!W129*(Escalators!D$32-1)+Direct_Capex_Composition!AF129*(Escalators!D$33-1)</f>
        <v>0</v>
      </c>
      <c r="E39" s="27">
        <f>Direct_Capex_Composition!X129*(Escalators!E$32-1)+Direct_Capex_Composition!AG129*(Escalators!E$33-1)</f>
        <v>0</v>
      </c>
      <c r="F39" s="27">
        <f>Direct_Capex_Composition!Y129*(Escalators!F$32-1)+Direct_Capex_Composition!AH129*(Escalators!F$33-1)</f>
        <v>0</v>
      </c>
      <c r="G39" s="27">
        <f>Direct_Capex_Composition!Z129*(Escalators!G$32-1)+Direct_Capex_Composition!AI129*(Escalators!G$33-1)</f>
        <v>0</v>
      </c>
      <c r="H39" s="27">
        <f>Direct_Capex_Composition!AA129*(Escalators!H$32-1)+Direct_Capex_Composition!AJ129*(Escalators!H$33-1)</f>
        <v>0.32711147446062533</v>
      </c>
      <c r="I39" s="27">
        <f>SUM(D39:H39)</f>
        <v>0.32711147446062533</v>
      </c>
      <c r="J39" s="462"/>
      <c r="K39" s="462"/>
      <c r="L39" s="462"/>
      <c r="M39" s="28">
        <f>SUM(J39:L39)</f>
        <v>0</v>
      </c>
    </row>
    <row r="40" spans="2:14" x14ac:dyDescent="0.25">
      <c r="C40" t="s">
        <v>118</v>
      </c>
      <c r="D40" s="115">
        <f t="shared" ref="D40:M40" si="7">SUM(D38:D39)</f>
        <v>0</v>
      </c>
      <c r="E40" s="115">
        <f t="shared" si="7"/>
        <v>0</v>
      </c>
      <c r="F40" s="115">
        <f t="shared" si="7"/>
        <v>0</v>
      </c>
      <c r="G40" s="115">
        <f t="shared" si="7"/>
        <v>32.8931103315131</v>
      </c>
      <c r="H40" s="115">
        <f t="shared" si="7"/>
        <v>92.943576719195747</v>
      </c>
      <c r="I40" s="115">
        <f t="shared" si="7"/>
        <v>125.83668705070885</v>
      </c>
      <c r="J40" s="115">
        <f t="shared" si="7"/>
        <v>0</v>
      </c>
      <c r="K40" s="115">
        <f t="shared" si="7"/>
        <v>0</v>
      </c>
      <c r="L40" s="115">
        <f t="shared" si="7"/>
        <v>0</v>
      </c>
      <c r="M40" s="115">
        <f t="shared" si="7"/>
        <v>0</v>
      </c>
    </row>
    <row r="41" spans="2:14" x14ac:dyDescent="0.25">
      <c r="B41" s="172" t="s">
        <v>83</v>
      </c>
      <c r="D41" s="175"/>
      <c r="E41" s="175"/>
      <c r="F41" s="175"/>
      <c r="G41" s="175"/>
      <c r="H41" s="175"/>
      <c r="I41" s="450"/>
      <c r="J41" s="175"/>
      <c r="K41" s="175"/>
      <c r="L41" s="175"/>
      <c r="M41" s="175"/>
    </row>
    <row r="42" spans="2:14" x14ac:dyDescent="0.25">
      <c r="C42" s="172" t="s">
        <v>159</v>
      </c>
      <c r="D42" s="27">
        <f>Direct_Capex_Composition!W132*(Escalators!D$32-1)+Direct_Capex_Composition!AF132*(Escalators!D$33-1)</f>
        <v>0</v>
      </c>
      <c r="E42" s="27">
        <f>Direct_Capex_Composition!X132*(Escalators!E$32-1)+Direct_Capex_Composition!AG132*(Escalators!E$33-1)</f>
        <v>0</v>
      </c>
      <c r="F42" s="27">
        <f>Direct_Capex_Composition!Y132*(Escalators!F$32-1)+Direct_Capex_Composition!AH132*(Escalators!F$33-1)</f>
        <v>0</v>
      </c>
      <c r="G42" s="27">
        <f>Direct_Capex_Composition!Z132*(Escalators!G$32-1)+Direct_Capex_Composition!AI132*(Escalators!G$33-1)</f>
        <v>0</v>
      </c>
      <c r="H42" s="27">
        <f>Direct_Capex_Composition!AA132*(Escalators!H$32-1)+Direct_Capex_Composition!AJ132*(Escalators!H$33-1)</f>
        <v>0</v>
      </c>
      <c r="I42" s="150">
        <f>SUM(D42:H42)</f>
        <v>0</v>
      </c>
      <c r="J42" s="462"/>
      <c r="K42" s="462"/>
      <c r="L42" s="462"/>
      <c r="M42" s="28">
        <f>SUM(J42:L42)</f>
        <v>0</v>
      </c>
    </row>
    <row r="43" spans="2:14" x14ac:dyDescent="0.25">
      <c r="C43" s="172" t="s">
        <v>158</v>
      </c>
      <c r="D43" s="27">
        <f>Direct_Capex_Composition!W133*(Escalators!D$32-1)+Direct_Capex_Composition!AF133*(Escalators!D$33-1)</f>
        <v>0</v>
      </c>
      <c r="E43" s="27">
        <f>Direct_Capex_Composition!X133*(Escalators!E$32-1)+Direct_Capex_Composition!AG133*(Escalators!E$33-1)</f>
        <v>0</v>
      </c>
      <c r="F43" s="27">
        <f>Direct_Capex_Composition!Y133*(Escalators!F$32-1)+Direct_Capex_Composition!AH133*(Escalators!F$33-1)</f>
        <v>0</v>
      </c>
      <c r="G43" s="27">
        <f>Direct_Capex_Composition!Z133*(Escalators!G$32-1)+Direct_Capex_Composition!AI133*(Escalators!G$33-1)</f>
        <v>0</v>
      </c>
      <c r="H43" s="27">
        <f>Direct_Capex_Composition!AA133*(Escalators!H$32-1)+Direct_Capex_Composition!AJ133*(Escalators!H$33-1)</f>
        <v>0</v>
      </c>
      <c r="I43" s="150">
        <f>SUM(D43:H43)</f>
        <v>0</v>
      </c>
      <c r="J43" s="462"/>
      <c r="K43" s="462"/>
      <c r="L43" s="462"/>
      <c r="M43" s="28">
        <f>SUM(J43:L43)</f>
        <v>0</v>
      </c>
    </row>
    <row r="44" spans="2:14" x14ac:dyDescent="0.25">
      <c r="C44" s="172" t="s">
        <v>211</v>
      </c>
      <c r="D44" s="27">
        <f>Direct_Capex_Composition!W134*(Escalators!D$32-1)+Direct_Capex_Composition!AF134*(Escalators!D$33-1)</f>
        <v>0</v>
      </c>
      <c r="E44" s="27">
        <f>Direct_Capex_Composition!X134*(Escalators!E$32-1)+Direct_Capex_Composition!AG134*(Escalators!E$33-1)</f>
        <v>0</v>
      </c>
      <c r="F44" s="27">
        <f>Direct_Capex_Composition!Y134*(Escalators!F$32-1)+Direct_Capex_Composition!AH134*(Escalators!F$33-1)</f>
        <v>0</v>
      </c>
      <c r="G44" s="27">
        <f>Direct_Capex_Composition!Z134*(Escalators!G$32-1)+Direct_Capex_Composition!AI134*(Escalators!G$33-1)</f>
        <v>1.010976084092035</v>
      </c>
      <c r="H44" s="27">
        <f>Direct_Capex_Composition!AA134*(Escalators!H$32-1)+Direct_Capex_Composition!AJ134*(Escalators!H$33-1)</f>
        <v>137.297888942995</v>
      </c>
      <c r="I44" s="150">
        <f>SUM(D44:H44)</f>
        <v>138.30886502708702</v>
      </c>
      <c r="J44" s="462"/>
      <c r="K44" s="462"/>
      <c r="L44" s="462"/>
      <c r="M44" s="28">
        <f>SUM(J44:L44)</f>
        <v>0</v>
      </c>
    </row>
    <row r="45" spans="2:14" x14ac:dyDescent="0.25">
      <c r="C45" s="172" t="s">
        <v>118</v>
      </c>
      <c r="D45" s="175">
        <f t="shared" ref="D45:M45" si="8">SUM(D42:D44)</f>
        <v>0</v>
      </c>
      <c r="E45" s="175">
        <f t="shared" si="8"/>
        <v>0</v>
      </c>
      <c r="F45" s="175">
        <f t="shared" si="8"/>
        <v>0</v>
      </c>
      <c r="G45" s="175">
        <f t="shared" si="8"/>
        <v>1.010976084092035</v>
      </c>
      <c r="H45" s="175">
        <f t="shared" si="8"/>
        <v>137.297888942995</v>
      </c>
      <c r="I45" s="175">
        <f t="shared" si="8"/>
        <v>138.30886502708702</v>
      </c>
      <c r="J45" s="175">
        <f t="shared" si="8"/>
        <v>0</v>
      </c>
      <c r="K45" s="175">
        <f t="shared" si="8"/>
        <v>0</v>
      </c>
      <c r="L45" s="175">
        <f t="shared" si="8"/>
        <v>0</v>
      </c>
      <c r="M45" s="175">
        <f t="shared" si="8"/>
        <v>0</v>
      </c>
    </row>
    <row r="46" spans="2:14" ht="15.75" thickBot="1" x14ac:dyDescent="0.3">
      <c r="B46" s="25" t="s">
        <v>119</v>
      </c>
      <c r="D46" s="148">
        <f t="shared" ref="D46:M46" si="9">D32+D36+D40+D45</f>
        <v>0</v>
      </c>
      <c r="E46" s="148">
        <f t="shared" si="9"/>
        <v>0</v>
      </c>
      <c r="F46" s="148">
        <f t="shared" si="9"/>
        <v>1.3745530286152872</v>
      </c>
      <c r="G46" s="148">
        <f t="shared" si="9"/>
        <v>179.3919187568454</v>
      </c>
      <c r="H46" s="148">
        <f t="shared" si="9"/>
        <v>696.66550554168339</v>
      </c>
      <c r="I46" s="148">
        <f t="shared" si="9"/>
        <v>877.43197732714407</v>
      </c>
      <c r="J46" s="148">
        <f t="shared" si="9"/>
        <v>0</v>
      </c>
      <c r="K46" s="148">
        <f t="shared" si="9"/>
        <v>0</v>
      </c>
      <c r="L46" s="148">
        <f t="shared" si="9"/>
        <v>0</v>
      </c>
      <c r="M46" s="148">
        <f t="shared" si="9"/>
        <v>0</v>
      </c>
    </row>
    <row r="47" spans="2:14" x14ac:dyDescent="0.25">
      <c r="B47" s="199" t="s">
        <v>72</v>
      </c>
      <c r="D47" s="150">
        <f>D46-(Direct_Capex_Composition!W136*(Escalators!D32-1)+Direct_Capex_Composition!AF136*(Escalators!D33-1))</f>
        <v>0</v>
      </c>
      <c r="E47" s="150">
        <f>E46-(Direct_Capex_Composition!X136*(Escalators!E32-1)+Direct_Capex_Composition!AG136*(Escalators!E33-1))</f>
        <v>0</v>
      </c>
      <c r="F47" s="150">
        <f>F46-(Direct_Capex_Composition!Y136*(Escalators!F32-1)+Direct_Capex_Composition!AH136*(Escalators!F33-1))</f>
        <v>0</v>
      </c>
      <c r="G47" s="150">
        <f>G46-(Direct_Capex_Composition!Z136*(Escalators!G32-1)+Direct_Capex_Composition!AI136*(Escalators!G33-1))</f>
        <v>0</v>
      </c>
      <c r="H47" s="150">
        <f>H46-(Direct_Capex_Composition!AA136*(Escalators!H32-1)+Direct_Capex_Composition!AJ136*(Escalators!H33-1))</f>
        <v>0</v>
      </c>
      <c r="I47" s="150">
        <f>SUM(D47:H47)</f>
        <v>0</v>
      </c>
      <c r="J47" s="150"/>
      <c r="K47" s="150"/>
      <c r="L47" s="150"/>
      <c r="M47" s="150">
        <f>SUM(J47:L47)</f>
        <v>0</v>
      </c>
      <c r="N47" s="149"/>
    </row>
    <row r="48" spans="2:14" x14ac:dyDescent="0.25">
      <c r="I48" s="149">
        <f>I46/I23</f>
        <v>2.1960223866137465E-2</v>
      </c>
    </row>
    <row r="49" spans="2:13" x14ac:dyDescent="0.25">
      <c r="B49" s="25" t="s">
        <v>586</v>
      </c>
    </row>
    <row r="50" spans="2:13" x14ac:dyDescent="0.25">
      <c r="I50" s="444" t="s">
        <v>525</v>
      </c>
      <c r="M50" s="444" t="s">
        <v>526</v>
      </c>
    </row>
    <row r="51" spans="2:13" x14ac:dyDescent="0.25">
      <c r="B51" t="s">
        <v>117</v>
      </c>
      <c r="D51" s="4">
        <v>2016</v>
      </c>
      <c r="E51" s="4">
        <v>2017</v>
      </c>
      <c r="F51" s="4">
        <v>2018</v>
      </c>
      <c r="G51" s="4">
        <v>2019</v>
      </c>
      <c r="H51" s="4">
        <v>2020</v>
      </c>
      <c r="I51" s="444" t="s">
        <v>6</v>
      </c>
      <c r="J51" s="409">
        <v>2021</v>
      </c>
      <c r="K51" s="409">
        <v>2022</v>
      </c>
      <c r="L51" s="409">
        <v>2023</v>
      </c>
      <c r="M51" s="444" t="s">
        <v>6</v>
      </c>
    </row>
    <row r="52" spans="2:13" x14ac:dyDescent="0.25">
      <c r="B52" t="s">
        <v>18</v>
      </c>
    </row>
    <row r="53" spans="2:13" x14ac:dyDescent="0.25">
      <c r="C53" t="s">
        <v>42</v>
      </c>
      <c r="D53" s="28">
        <f t="shared" ref="D53:H54" si="10">D7+D30</f>
        <v>0</v>
      </c>
      <c r="E53" s="28">
        <f t="shared" si="10"/>
        <v>0</v>
      </c>
      <c r="F53" s="28">
        <f t="shared" si="10"/>
        <v>0</v>
      </c>
      <c r="G53" s="28">
        <f t="shared" si="10"/>
        <v>4272.0348059689013</v>
      </c>
      <c r="H53" s="28">
        <f t="shared" si="10"/>
        <v>14178.89148720332</v>
      </c>
      <c r="I53" s="27">
        <f>SUM(D53:H53)</f>
        <v>18450.926293172222</v>
      </c>
      <c r="J53" s="28">
        <f t="shared" ref="J53:L54" si="11">J7+J30</f>
        <v>19820.544400332579</v>
      </c>
      <c r="K53" s="28">
        <f t="shared" si="11"/>
        <v>10855.646235114282</v>
      </c>
      <c r="L53" s="28">
        <f t="shared" si="11"/>
        <v>0</v>
      </c>
      <c r="M53" s="28">
        <f>SUM(J53:L53)</f>
        <v>30676.190635446859</v>
      </c>
    </row>
    <row r="54" spans="2:13" x14ac:dyDescent="0.25">
      <c r="C54" t="s">
        <v>44</v>
      </c>
      <c r="D54" s="28">
        <f t="shared" si="10"/>
        <v>0</v>
      </c>
      <c r="E54" s="28">
        <f t="shared" si="10"/>
        <v>0</v>
      </c>
      <c r="F54" s="28">
        <f t="shared" si="10"/>
        <v>0</v>
      </c>
      <c r="G54" s="28">
        <f t="shared" si="10"/>
        <v>0</v>
      </c>
      <c r="H54" s="28">
        <f t="shared" si="10"/>
        <v>0</v>
      </c>
      <c r="I54" s="27">
        <f>SUM(D54:H54)</f>
        <v>0</v>
      </c>
      <c r="J54" s="28">
        <f t="shared" si="11"/>
        <v>0</v>
      </c>
      <c r="K54" s="28">
        <f t="shared" si="11"/>
        <v>0</v>
      </c>
      <c r="L54" s="28">
        <f t="shared" si="11"/>
        <v>0</v>
      </c>
      <c r="M54" s="28">
        <f>SUM(J54:L54)</f>
        <v>0</v>
      </c>
    </row>
    <row r="55" spans="2:13" x14ac:dyDescent="0.25">
      <c r="C55" t="s">
        <v>118</v>
      </c>
      <c r="D55" s="115">
        <f t="shared" ref="D55:M55" si="12">SUM(D53:D54)</f>
        <v>0</v>
      </c>
      <c r="E55" s="115">
        <f t="shared" si="12"/>
        <v>0</v>
      </c>
      <c r="F55" s="115">
        <f t="shared" si="12"/>
        <v>0</v>
      </c>
      <c r="G55" s="115">
        <f t="shared" si="12"/>
        <v>4272.0348059689013</v>
      </c>
      <c r="H55" s="115">
        <f t="shared" si="12"/>
        <v>14178.89148720332</v>
      </c>
      <c r="I55" s="115">
        <f t="shared" si="12"/>
        <v>18450.926293172222</v>
      </c>
      <c r="J55" s="115">
        <f t="shared" si="12"/>
        <v>19820.544400332579</v>
      </c>
      <c r="K55" s="115">
        <f t="shared" si="12"/>
        <v>10855.646235114282</v>
      </c>
      <c r="L55" s="115">
        <f t="shared" si="12"/>
        <v>0</v>
      </c>
      <c r="M55" s="115">
        <f t="shared" si="12"/>
        <v>30676.190635446859</v>
      </c>
    </row>
    <row r="56" spans="2:13" x14ac:dyDescent="0.25">
      <c r="B56" s="8" t="s">
        <v>19</v>
      </c>
      <c r="I56" s="27"/>
    </row>
    <row r="57" spans="2:13" x14ac:dyDescent="0.25">
      <c r="C57" t="s">
        <v>42</v>
      </c>
      <c r="D57" s="28">
        <f t="shared" ref="D57:H58" si="13">D11+D34</f>
        <v>0</v>
      </c>
      <c r="E57" s="28">
        <f t="shared" si="13"/>
        <v>0</v>
      </c>
      <c r="F57" s="28">
        <f t="shared" si="13"/>
        <v>0</v>
      </c>
      <c r="G57" s="28">
        <f t="shared" si="13"/>
        <v>1472.899571024328</v>
      </c>
      <c r="H57" s="28">
        <f t="shared" si="13"/>
        <v>4884.1992257714392</v>
      </c>
      <c r="I57" s="27">
        <f>SUM(D57:H57)</f>
        <v>6357.0987967957672</v>
      </c>
      <c r="J57" s="28">
        <f t="shared" ref="J57:L58" si="14">J11+J34</f>
        <v>3991.6723214612762</v>
      </c>
      <c r="K57" s="28">
        <f t="shared" si="14"/>
        <v>3431.1991028443003</v>
      </c>
      <c r="L57" s="28">
        <f t="shared" si="14"/>
        <v>0</v>
      </c>
      <c r="M57" s="28">
        <f>SUM(J57:L57)</f>
        <v>7422.8714243055765</v>
      </c>
    </row>
    <row r="58" spans="2:13" x14ac:dyDescent="0.25">
      <c r="C58" t="s">
        <v>44</v>
      </c>
      <c r="D58" s="28">
        <f t="shared" si="13"/>
        <v>0</v>
      </c>
      <c r="E58" s="28">
        <f t="shared" si="13"/>
        <v>0</v>
      </c>
      <c r="F58" s="28">
        <f t="shared" si="13"/>
        <v>227.67084932491159</v>
      </c>
      <c r="G58" s="28">
        <f t="shared" si="13"/>
        <v>1546.7085896092128</v>
      </c>
      <c r="H58" s="28">
        <f t="shared" si="13"/>
        <v>3719.3537119586326</v>
      </c>
      <c r="I58" s="27">
        <f>SUM(D58:H58)</f>
        <v>5493.7331508927573</v>
      </c>
      <c r="J58" s="28">
        <f t="shared" si="14"/>
        <v>8113.4988640354504</v>
      </c>
      <c r="K58" s="28">
        <f t="shared" si="14"/>
        <v>6733.0797731432376</v>
      </c>
      <c r="L58" s="28">
        <f t="shared" si="14"/>
        <v>0</v>
      </c>
      <c r="M58" s="28">
        <f>SUM(J58:L58)</f>
        <v>14846.578637178689</v>
      </c>
    </row>
    <row r="59" spans="2:13" x14ac:dyDescent="0.25">
      <c r="C59" t="s">
        <v>118</v>
      </c>
      <c r="D59" s="115">
        <f t="shared" ref="D59:M59" si="15">SUM(D57:D58)</f>
        <v>0</v>
      </c>
      <c r="E59" s="115">
        <f t="shared" si="15"/>
        <v>0</v>
      </c>
      <c r="F59" s="115">
        <f t="shared" si="15"/>
        <v>227.67084932491159</v>
      </c>
      <c r="G59" s="115">
        <f t="shared" si="15"/>
        <v>3019.608160633541</v>
      </c>
      <c r="H59" s="115">
        <f t="shared" si="15"/>
        <v>8603.5529377300718</v>
      </c>
      <c r="I59" s="115">
        <f t="shared" si="15"/>
        <v>11850.831947688524</v>
      </c>
      <c r="J59" s="115">
        <f t="shared" si="15"/>
        <v>12105.171185496727</v>
      </c>
      <c r="K59" s="115">
        <f t="shared" si="15"/>
        <v>10164.278875987538</v>
      </c>
      <c r="L59" s="115">
        <f t="shared" si="15"/>
        <v>0</v>
      </c>
      <c r="M59" s="115">
        <f t="shared" si="15"/>
        <v>22269.450061484265</v>
      </c>
    </row>
    <row r="60" spans="2:13" x14ac:dyDescent="0.25">
      <c r="B60" s="8" t="s">
        <v>22</v>
      </c>
      <c r="I60" s="27"/>
    </row>
    <row r="61" spans="2:13" x14ac:dyDescent="0.25">
      <c r="C61" t="s">
        <v>42</v>
      </c>
      <c r="D61" s="28">
        <f t="shared" ref="D61:H62" si="16">D15+D38</f>
        <v>0</v>
      </c>
      <c r="E61" s="28">
        <f t="shared" si="16"/>
        <v>0</v>
      </c>
      <c r="F61" s="28">
        <f t="shared" si="16"/>
        <v>0</v>
      </c>
      <c r="G61" s="28">
        <f t="shared" si="16"/>
        <v>1945.0841955242652</v>
      </c>
      <c r="H61" s="28">
        <f t="shared" si="16"/>
        <v>4995.0528733808851</v>
      </c>
      <c r="I61" s="27">
        <f>SUM(D61:H61)</f>
        <v>6940.13706890515</v>
      </c>
      <c r="J61" s="28">
        <f t="shared" ref="J61:L62" si="17">J15+J38</f>
        <v>6904.9411922770842</v>
      </c>
      <c r="K61" s="28">
        <f t="shared" si="17"/>
        <v>3517.1897858063612</v>
      </c>
      <c r="L61" s="28">
        <f t="shared" si="17"/>
        <v>0</v>
      </c>
      <c r="M61" s="28">
        <f>SUM(J61:L61)</f>
        <v>10422.130978083445</v>
      </c>
    </row>
    <row r="62" spans="2:13" x14ac:dyDescent="0.25">
      <c r="C62" t="s">
        <v>44</v>
      </c>
      <c r="D62" s="28">
        <f t="shared" si="16"/>
        <v>0</v>
      </c>
      <c r="E62" s="28">
        <f t="shared" si="16"/>
        <v>0</v>
      </c>
      <c r="F62" s="28">
        <f t="shared" si="16"/>
        <v>0</v>
      </c>
      <c r="G62" s="28">
        <f t="shared" si="16"/>
        <v>0</v>
      </c>
      <c r="H62" s="28">
        <f t="shared" si="16"/>
        <v>8.4431136893000485</v>
      </c>
      <c r="I62" s="27">
        <f>SUM(D62:H62)</f>
        <v>8.4431136893000485</v>
      </c>
      <c r="J62" s="28">
        <f t="shared" si="17"/>
        <v>69.797619047619037</v>
      </c>
      <c r="K62" s="28">
        <f t="shared" si="17"/>
        <v>45.449612403100765</v>
      </c>
      <c r="L62" s="28">
        <f t="shared" si="17"/>
        <v>0</v>
      </c>
      <c r="M62" s="28">
        <f>SUM(J62:L62)</f>
        <v>115.2472314507198</v>
      </c>
    </row>
    <row r="63" spans="2:13" x14ac:dyDescent="0.25">
      <c r="C63" t="s">
        <v>118</v>
      </c>
      <c r="D63" s="115">
        <f t="shared" ref="D63:M63" si="18">SUM(D61:D62)</f>
        <v>0</v>
      </c>
      <c r="E63" s="115">
        <f t="shared" si="18"/>
        <v>0</v>
      </c>
      <c r="F63" s="115">
        <f t="shared" si="18"/>
        <v>0</v>
      </c>
      <c r="G63" s="115">
        <f t="shared" si="18"/>
        <v>1945.0841955242652</v>
      </c>
      <c r="H63" s="115">
        <f t="shared" si="18"/>
        <v>5003.495987070185</v>
      </c>
      <c r="I63" s="115">
        <f t="shared" si="18"/>
        <v>6948.58018259445</v>
      </c>
      <c r="J63" s="115">
        <f t="shared" si="18"/>
        <v>6974.7388113247034</v>
      </c>
      <c r="K63" s="115">
        <f t="shared" si="18"/>
        <v>3562.6393982094619</v>
      </c>
      <c r="L63" s="115">
        <f t="shared" si="18"/>
        <v>0</v>
      </c>
      <c r="M63" s="115">
        <f t="shared" si="18"/>
        <v>10537.378209534165</v>
      </c>
    </row>
    <row r="64" spans="2:13" x14ac:dyDescent="0.25">
      <c r="B64" s="172" t="s">
        <v>83</v>
      </c>
      <c r="D64" s="175"/>
      <c r="E64" s="175"/>
      <c r="F64" s="175"/>
      <c r="G64" s="175"/>
      <c r="H64" s="175"/>
      <c r="I64" s="450"/>
      <c r="J64" s="175"/>
      <c r="K64" s="175"/>
      <c r="L64" s="175"/>
      <c r="M64" s="175"/>
    </row>
    <row r="65" spans="2:13" x14ac:dyDescent="0.25">
      <c r="C65" s="172" t="s">
        <v>159</v>
      </c>
      <c r="D65" s="28">
        <f>D19+D42</f>
        <v>0</v>
      </c>
      <c r="E65" s="28">
        <f>E19+E42</f>
        <v>0</v>
      </c>
      <c r="F65" s="28">
        <f>F19+F42</f>
        <v>0</v>
      </c>
      <c r="G65" s="28">
        <f>G19+G42</f>
        <v>0</v>
      </c>
      <c r="H65" s="28">
        <f>H19+H42</f>
        <v>0</v>
      </c>
      <c r="I65" s="150">
        <f>SUM(D65:H65)</f>
        <v>0</v>
      </c>
      <c r="J65" s="28">
        <f t="shared" ref="J65:L67" si="19">J19+J42</f>
        <v>0</v>
      </c>
      <c r="K65" s="28">
        <f t="shared" si="19"/>
        <v>0</v>
      </c>
      <c r="L65" s="28">
        <f t="shared" si="19"/>
        <v>0</v>
      </c>
      <c r="M65" s="28">
        <f>SUM(J65:L65)</f>
        <v>0</v>
      </c>
    </row>
    <row r="66" spans="2:13" x14ac:dyDescent="0.25">
      <c r="C66" s="172" t="s">
        <v>158</v>
      </c>
      <c r="D66" s="28">
        <f t="shared" ref="D66:H67" si="20">D20+D43</f>
        <v>0</v>
      </c>
      <c r="E66" s="28">
        <f t="shared" si="20"/>
        <v>0</v>
      </c>
      <c r="F66" s="28">
        <f t="shared" si="20"/>
        <v>0</v>
      </c>
      <c r="G66" s="28">
        <f t="shared" si="20"/>
        <v>0</v>
      </c>
      <c r="H66" s="28">
        <f t="shared" si="20"/>
        <v>0</v>
      </c>
      <c r="I66" s="150">
        <f>SUM(D66:H66)</f>
        <v>0</v>
      </c>
      <c r="J66" s="28">
        <f t="shared" si="19"/>
        <v>0</v>
      </c>
      <c r="K66" s="28">
        <f t="shared" si="19"/>
        <v>0</v>
      </c>
      <c r="L66" s="28">
        <f t="shared" si="19"/>
        <v>0</v>
      </c>
      <c r="M66" s="28">
        <f>SUM(J66:L66)</f>
        <v>0</v>
      </c>
    </row>
    <row r="67" spans="2:13" x14ac:dyDescent="0.25">
      <c r="C67" s="172" t="s">
        <v>211</v>
      </c>
      <c r="D67" s="28">
        <f t="shared" si="20"/>
        <v>0</v>
      </c>
      <c r="E67" s="28">
        <f t="shared" si="20"/>
        <v>0</v>
      </c>
      <c r="F67" s="28">
        <f t="shared" si="20"/>
        <v>0</v>
      </c>
      <c r="G67" s="28">
        <f t="shared" si="20"/>
        <v>37.811509101258075</v>
      </c>
      <c r="H67" s="28">
        <f t="shared" si="20"/>
        <v>3544.7935493751033</v>
      </c>
      <c r="I67" s="150">
        <f>SUM(D67:H67)</f>
        <v>3582.6050584763616</v>
      </c>
      <c r="J67" s="28">
        <f t="shared" si="19"/>
        <v>59.66220945773199</v>
      </c>
      <c r="K67" s="28">
        <f t="shared" si="19"/>
        <v>44.000879475077348</v>
      </c>
      <c r="L67" s="28">
        <f t="shared" si="19"/>
        <v>0</v>
      </c>
      <c r="M67" s="28">
        <f>SUM(J67:L67)</f>
        <v>103.66308893280933</v>
      </c>
    </row>
    <row r="68" spans="2:13" x14ac:dyDescent="0.25">
      <c r="C68" s="172" t="s">
        <v>118</v>
      </c>
      <c r="D68" s="175">
        <f t="shared" ref="D68:M68" si="21">SUM(D65:D67)</f>
        <v>0</v>
      </c>
      <c r="E68" s="175">
        <f t="shared" si="21"/>
        <v>0</v>
      </c>
      <c r="F68" s="175">
        <f t="shared" si="21"/>
        <v>0</v>
      </c>
      <c r="G68" s="175">
        <f t="shared" si="21"/>
        <v>37.811509101258075</v>
      </c>
      <c r="H68" s="175">
        <f t="shared" si="21"/>
        <v>3544.7935493751033</v>
      </c>
      <c r="I68" s="175">
        <f t="shared" si="21"/>
        <v>3582.6050584763616</v>
      </c>
      <c r="J68" s="175">
        <f t="shared" si="21"/>
        <v>59.66220945773199</v>
      </c>
      <c r="K68" s="175">
        <f t="shared" si="21"/>
        <v>44.000879475077348</v>
      </c>
      <c r="L68" s="175">
        <f t="shared" si="21"/>
        <v>0</v>
      </c>
      <c r="M68" s="175">
        <f t="shared" si="21"/>
        <v>103.66308893280933</v>
      </c>
    </row>
    <row r="69" spans="2:13" ht="15.75" thickBot="1" x14ac:dyDescent="0.3">
      <c r="B69" s="25" t="s">
        <v>119</v>
      </c>
      <c r="D69" s="148">
        <f t="shared" ref="D69:M69" si="22">D55+D59+D63+D68</f>
        <v>0</v>
      </c>
      <c r="E69" s="148">
        <f t="shared" si="22"/>
        <v>0</v>
      </c>
      <c r="F69" s="148">
        <f t="shared" si="22"/>
        <v>227.67084932491159</v>
      </c>
      <c r="G69" s="148">
        <f t="shared" si="22"/>
        <v>9274.5386712279669</v>
      </c>
      <c r="H69" s="148">
        <f t="shared" si="22"/>
        <v>31330.733961378679</v>
      </c>
      <c r="I69" s="148">
        <f t="shared" si="22"/>
        <v>40832.943481931565</v>
      </c>
      <c r="J69" s="148">
        <f t="shared" si="22"/>
        <v>38960.116606611744</v>
      </c>
      <c r="K69" s="148">
        <f t="shared" si="22"/>
        <v>24626.565388786359</v>
      </c>
      <c r="L69" s="148">
        <f t="shared" si="22"/>
        <v>0</v>
      </c>
      <c r="M69" s="148">
        <f t="shared" si="22"/>
        <v>63586.681995398096</v>
      </c>
    </row>
    <row r="70" spans="2:13" x14ac:dyDescent="0.25">
      <c r="B70" s="199" t="s">
        <v>72</v>
      </c>
      <c r="D70" s="28">
        <f>D69-D46-D23</f>
        <v>0</v>
      </c>
      <c r="E70" s="28">
        <f>E69-E46-E23</f>
        <v>0</v>
      </c>
      <c r="F70" s="28">
        <f>F69-F46-F23</f>
        <v>0</v>
      </c>
      <c r="G70" s="28">
        <f>G69-G46-G23</f>
        <v>0</v>
      </c>
      <c r="H70" s="28">
        <f>H69-H46-H23</f>
        <v>0</v>
      </c>
      <c r="I70" s="150">
        <f>SUM(D70:H70)</f>
        <v>0</v>
      </c>
      <c r="J70" s="28">
        <f>J69-J46-J23</f>
        <v>0</v>
      </c>
      <c r="K70" s="28">
        <f>K69-K46-K23</f>
        <v>0</v>
      </c>
      <c r="L70" s="28">
        <f>L69-L46-L23</f>
        <v>0</v>
      </c>
      <c r="M70" s="150">
        <f>SUM(J70:L70)</f>
        <v>0</v>
      </c>
    </row>
  </sheetData>
  <pageMargins left="0.7" right="0.7" top="0.75" bottom="0.75" header="0.3" footer="0.3"/>
  <ignoredErrors>
    <ignoredError sqref="D32:H32" formulaRange="1"/>
    <ignoredError sqref="I70 I53:I54 I57:I58 I61:I62 I65:I6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R102"/>
  <sheetViews>
    <sheetView zoomScale="85" zoomScaleNormal="85" workbookViewId="0">
      <selection activeCell="L96" sqref="L96"/>
    </sheetView>
  </sheetViews>
  <sheetFormatPr defaultRowHeight="15" outlineLevelRow="1" x14ac:dyDescent="0.25"/>
  <cols>
    <col min="1" max="1" width="4" customWidth="1"/>
    <col min="2" max="2" width="55.85546875" customWidth="1"/>
    <col min="3" max="7" width="11.7109375" bestFit="1" customWidth="1"/>
    <col min="8" max="8" width="10.28515625" customWidth="1"/>
    <col min="10" max="11" width="9.42578125" bestFit="1" customWidth="1"/>
    <col min="12" max="12" width="10.5703125" bestFit="1" customWidth="1"/>
    <col min="13" max="14" width="10.7109375" bestFit="1" customWidth="1"/>
  </cols>
  <sheetData>
    <row r="2" spans="2:8" ht="15.75" x14ac:dyDescent="0.25">
      <c r="B2" s="123" t="s">
        <v>70</v>
      </c>
      <c r="C2" s="473"/>
      <c r="D2" s="481" t="s">
        <v>723</v>
      </c>
    </row>
    <row r="3" spans="2:8" ht="15.75" thickBot="1" x14ac:dyDescent="0.3"/>
    <row r="4" spans="2:8" ht="17.25" thickTop="1" thickBot="1" x14ac:dyDescent="0.3">
      <c r="B4" s="113" t="s">
        <v>34</v>
      </c>
      <c r="C4" s="55"/>
      <c r="D4" s="55"/>
      <c r="E4" s="55"/>
      <c r="F4" s="55"/>
      <c r="G4" s="56"/>
    </row>
    <row r="5" spans="2:8" ht="16.5" thickTop="1" thickBot="1" x14ac:dyDescent="0.3">
      <c r="B5" s="57"/>
      <c r="C5" s="58">
        <v>2016</v>
      </c>
      <c r="D5" s="58">
        <v>2017</v>
      </c>
      <c r="E5" s="59">
        <v>2018</v>
      </c>
      <c r="F5" s="58">
        <v>2019</v>
      </c>
      <c r="G5" s="60">
        <v>2020</v>
      </c>
    </row>
    <row r="6" spans="2:8" ht="15.75" thickTop="1" x14ac:dyDescent="0.25">
      <c r="B6" s="61" t="s">
        <v>35</v>
      </c>
      <c r="C6" s="62"/>
      <c r="D6" s="62"/>
      <c r="E6" s="63"/>
      <c r="F6" s="62"/>
      <c r="G6" s="64"/>
    </row>
    <row r="7" spans="2:8" x14ac:dyDescent="0.25">
      <c r="B7" s="155" t="s">
        <v>33</v>
      </c>
      <c r="C7" s="512">
        <v>0.75</v>
      </c>
      <c r="D7" s="512">
        <v>0.75</v>
      </c>
      <c r="E7" s="512">
        <v>0.75</v>
      </c>
      <c r="F7" s="512">
        <v>0.75</v>
      </c>
      <c r="G7" s="513">
        <v>0.75</v>
      </c>
    </row>
    <row r="8" spans="2:8" ht="15.75" thickBot="1" x14ac:dyDescent="0.3">
      <c r="B8" s="156" t="s">
        <v>36</v>
      </c>
      <c r="C8" s="514">
        <v>0.25</v>
      </c>
      <c r="D8" s="514">
        <v>0.25</v>
      </c>
      <c r="E8" s="514">
        <v>0.25</v>
      </c>
      <c r="F8" s="514">
        <v>0.25</v>
      </c>
      <c r="G8" s="515">
        <v>0.25</v>
      </c>
    </row>
    <row r="9" spans="2:8" ht="15.75" thickTop="1" x14ac:dyDescent="0.25">
      <c r="B9" s="65" t="s">
        <v>37</v>
      </c>
      <c r="C9" s="66"/>
      <c r="D9" s="66"/>
      <c r="E9" s="66"/>
      <c r="F9" s="66"/>
      <c r="G9" s="67"/>
    </row>
    <row r="10" spans="2:8" x14ac:dyDescent="0.25">
      <c r="B10" s="155" t="s">
        <v>38</v>
      </c>
      <c r="C10" s="506">
        <v>25516.319151098403</v>
      </c>
      <c r="D10" s="506">
        <v>26792.925345310952</v>
      </c>
      <c r="E10" s="506">
        <v>26017.930176171962</v>
      </c>
      <c r="F10" s="506">
        <v>26029.327186194743</v>
      </c>
      <c r="G10" s="507">
        <v>26112.198899090159</v>
      </c>
      <c r="H10" s="114"/>
    </row>
    <row r="11" spans="2:8" x14ac:dyDescent="0.25">
      <c r="B11" s="155" t="s">
        <v>39</v>
      </c>
      <c r="C11" s="506">
        <v>8505.4397170328011</v>
      </c>
      <c r="D11" s="506">
        <v>8930.9751151036508</v>
      </c>
      <c r="E11" s="506">
        <v>8672.6433920573199</v>
      </c>
      <c r="F11" s="506">
        <v>8676.4423953982478</v>
      </c>
      <c r="G11" s="507">
        <v>8704.0662996967203</v>
      </c>
    </row>
    <row r="12" spans="2:8" x14ac:dyDescent="0.25">
      <c r="B12" s="155" t="s">
        <v>40</v>
      </c>
      <c r="C12" s="508">
        <v>0.92163991921824151</v>
      </c>
      <c r="D12" s="508">
        <v>0.92663486611572921</v>
      </c>
      <c r="E12" s="508">
        <v>0.93922382705772456</v>
      </c>
      <c r="F12" s="508">
        <v>0.93168307243545245</v>
      </c>
      <c r="G12" s="509">
        <v>0.91597832702227233</v>
      </c>
    </row>
    <row r="13" spans="2:8" ht="15.75" thickBot="1" x14ac:dyDescent="0.3">
      <c r="B13" s="157" t="s">
        <v>41</v>
      </c>
      <c r="C13" s="510">
        <v>7838.952773721734</v>
      </c>
      <c r="D13" s="510">
        <v>8275.7529300669812</v>
      </c>
      <c r="E13" s="510">
        <v>8145.5533173949616</v>
      </c>
      <c r="F13" s="510">
        <v>8083.6945087538561</v>
      </c>
      <c r="G13" s="511">
        <v>7972.736087487142</v>
      </c>
    </row>
    <row r="14" spans="2:8" ht="15.75" thickTop="1" x14ac:dyDescent="0.25">
      <c r="B14" s="41" t="s">
        <v>73</v>
      </c>
      <c r="C14" s="119"/>
      <c r="D14" s="119"/>
      <c r="E14" s="119"/>
      <c r="F14" s="119"/>
      <c r="G14" s="119"/>
    </row>
    <row r="15" spans="2:8" hidden="1" outlineLevel="1" x14ac:dyDescent="0.25">
      <c r="C15" s="4">
        <v>2016</v>
      </c>
      <c r="D15" s="4">
        <v>2017</v>
      </c>
      <c r="E15" s="4">
        <v>2018</v>
      </c>
      <c r="F15" s="4">
        <v>2019</v>
      </c>
      <c r="G15" s="4">
        <v>2020</v>
      </c>
      <c r="H15" s="4" t="s">
        <v>6</v>
      </c>
    </row>
    <row r="16" spans="2:8" hidden="1" outlineLevel="1" x14ac:dyDescent="0.25">
      <c r="B16" s="68" t="s">
        <v>95</v>
      </c>
      <c r="C16" s="69">
        <f>C10+C13</f>
        <v>33355.271924820139</v>
      </c>
      <c r="D16" s="69">
        <f>D10+D13</f>
        <v>35068.678275377933</v>
      </c>
      <c r="E16" s="69">
        <f>E10+E13</f>
        <v>34163.483493566921</v>
      </c>
      <c r="F16" s="69">
        <f>F10+F13</f>
        <v>34113.021694948598</v>
      </c>
      <c r="G16" s="69">
        <f>G10+G13</f>
        <v>34084.934986577304</v>
      </c>
      <c r="H16" s="114">
        <f>SUM(C16:G16)</f>
        <v>170785.39037529091</v>
      </c>
    </row>
    <row r="17" spans="2:8" hidden="1" outlineLevel="1" x14ac:dyDescent="0.25">
      <c r="B17" s="68" t="s">
        <v>98</v>
      </c>
      <c r="C17" s="69">
        <f>Capex_by_Purpose!C25</f>
        <v>33261.385519051022</v>
      </c>
      <c r="D17" s="69">
        <f>Capex_by_Purpose!D25</f>
        <v>34850.114753332811</v>
      </c>
      <c r="E17" s="69">
        <f>Capex_by_Purpose!E25</f>
        <v>33913.962601280691</v>
      </c>
      <c r="F17" s="69">
        <f>Capex_by_Purpose!F25</f>
        <v>33828.254396902899</v>
      </c>
      <c r="G17" s="69">
        <f>Capex_by_Purpose!G25</f>
        <v>33782.204994937783</v>
      </c>
      <c r="H17" s="114">
        <f>SUM(C17:G17)</f>
        <v>169635.92226550519</v>
      </c>
    </row>
    <row r="18" spans="2:8" hidden="1" outlineLevel="1" x14ac:dyDescent="0.25"/>
    <row r="19" spans="2:8" hidden="1" outlineLevel="1" x14ac:dyDescent="0.25">
      <c r="B19" t="s">
        <v>162</v>
      </c>
      <c r="C19" s="170">
        <v>2016</v>
      </c>
      <c r="D19" s="170">
        <v>2017</v>
      </c>
      <c r="E19" s="170">
        <v>2018</v>
      </c>
      <c r="F19" s="170">
        <v>2019</v>
      </c>
      <c r="G19" s="170">
        <v>2020</v>
      </c>
      <c r="H19" s="170" t="s">
        <v>6</v>
      </c>
    </row>
    <row r="20" spans="2:8" hidden="1" outlineLevel="1" x14ac:dyDescent="0.25">
      <c r="B20" t="s">
        <v>163</v>
      </c>
      <c r="C20" s="27">
        <v>31932.395409158231</v>
      </c>
      <c r="D20" s="27">
        <v>33440.205324465853</v>
      </c>
      <c r="E20" s="27">
        <v>32553.663631276147</v>
      </c>
      <c r="F20" s="27">
        <v>32270.571335254968</v>
      </c>
      <c r="G20" s="27">
        <v>32571.148028795615</v>
      </c>
      <c r="H20" s="27">
        <f>SUM(C20:G20)</f>
        <v>162767.98372895081</v>
      </c>
    </row>
    <row r="21" spans="2:8" hidden="1" outlineLevel="1" x14ac:dyDescent="0.25">
      <c r="B21" t="s">
        <v>164</v>
      </c>
      <c r="C21" s="29">
        <v>1422.8765156619111</v>
      </c>
      <c r="D21" s="29">
        <v>1628.472950912075</v>
      </c>
      <c r="E21" s="29">
        <v>1609.8198622907744</v>
      </c>
      <c r="F21" s="29">
        <v>1842.4503596936281</v>
      </c>
      <c r="G21" s="29">
        <v>1513.7869577816946</v>
      </c>
      <c r="H21" s="29">
        <f>SUM(C21:G21)</f>
        <v>8017.4066463400832</v>
      </c>
    </row>
    <row r="22" spans="2:8" hidden="1" outlineLevel="1" x14ac:dyDescent="0.25">
      <c r="B22" s="130" t="s">
        <v>205</v>
      </c>
      <c r="C22" s="27">
        <f t="shared" ref="C22:H22" si="0">SUM(C20:C21)</f>
        <v>33355.271924820139</v>
      </c>
      <c r="D22" s="27">
        <f t="shared" si="0"/>
        <v>35068.678275377926</v>
      </c>
      <c r="E22" s="27">
        <f t="shared" si="0"/>
        <v>34163.483493566921</v>
      </c>
      <c r="F22" s="27">
        <f t="shared" si="0"/>
        <v>34113.021694948598</v>
      </c>
      <c r="G22" s="27">
        <f t="shared" si="0"/>
        <v>34084.934986577311</v>
      </c>
      <c r="H22" s="27">
        <f t="shared" si="0"/>
        <v>170785.39037529091</v>
      </c>
    </row>
    <row r="23" spans="2:8" hidden="1" outlineLevel="1" x14ac:dyDescent="0.25">
      <c r="B23" s="41" t="s">
        <v>72</v>
      </c>
      <c r="C23" s="183">
        <f t="shared" ref="C23:H23" si="1">C22-C16</f>
        <v>0</v>
      </c>
      <c r="D23" s="183">
        <f t="shared" si="1"/>
        <v>0</v>
      </c>
      <c r="E23" s="183">
        <f t="shared" si="1"/>
        <v>0</v>
      </c>
      <c r="F23" s="183">
        <f t="shared" si="1"/>
        <v>0</v>
      </c>
      <c r="G23" s="183">
        <f t="shared" si="1"/>
        <v>0</v>
      </c>
      <c r="H23" s="183">
        <f t="shared" si="1"/>
        <v>0</v>
      </c>
    </row>
    <row r="24" spans="2:8" hidden="1" outlineLevel="1" x14ac:dyDescent="0.25">
      <c r="B24" s="41" t="s">
        <v>73</v>
      </c>
      <c r="C24" s="183"/>
      <c r="D24" s="183"/>
      <c r="E24" s="183"/>
      <c r="F24" s="183"/>
      <c r="G24" s="183"/>
      <c r="H24" s="183"/>
    </row>
    <row r="25" spans="2:8" hidden="1" outlineLevel="1" x14ac:dyDescent="0.25">
      <c r="B25" s="41"/>
    </row>
    <row r="26" spans="2:8" hidden="1" outlineLevel="1" x14ac:dyDescent="0.25">
      <c r="B26" s="130" t="s">
        <v>201</v>
      </c>
      <c r="C26" s="171">
        <v>2016</v>
      </c>
      <c r="D26" s="171">
        <v>2017</v>
      </c>
      <c r="E26" s="171">
        <v>2018</v>
      </c>
      <c r="F26" s="171">
        <v>2019</v>
      </c>
      <c r="G26" s="171">
        <v>2020</v>
      </c>
      <c r="H26" s="171" t="s">
        <v>6</v>
      </c>
    </row>
    <row r="27" spans="2:8" hidden="1" outlineLevel="1" x14ac:dyDescent="0.25">
      <c r="B27" s="130" t="s">
        <v>18</v>
      </c>
      <c r="C27" s="27">
        <v>4817.6339434336433</v>
      </c>
      <c r="D27" s="27">
        <v>5185.1814411497135</v>
      </c>
      <c r="E27" s="27">
        <v>4837.5196256976678</v>
      </c>
      <c r="F27" s="27">
        <v>5105.1175868297487</v>
      </c>
      <c r="G27" s="27">
        <v>4862.6500470510855</v>
      </c>
      <c r="H27" s="27">
        <f>SUM(C27:G27)</f>
        <v>24808.10264416186</v>
      </c>
    </row>
    <row r="28" spans="2:8" hidden="1" outlineLevel="1" x14ac:dyDescent="0.25">
      <c r="B28" s="130" t="s">
        <v>19</v>
      </c>
      <c r="C28" s="27">
        <v>26365.064802732726</v>
      </c>
      <c r="D28" s="27">
        <v>27536.867428685862</v>
      </c>
      <c r="E28" s="27">
        <v>27210.205072430301</v>
      </c>
      <c r="F28" s="27">
        <v>26660.493118677503</v>
      </c>
      <c r="G28" s="27">
        <v>27240.246429357649</v>
      </c>
      <c r="H28" s="27">
        <f>SUM(C28:G28)</f>
        <v>135012.87685188404</v>
      </c>
    </row>
    <row r="29" spans="2:8" hidden="1" outlineLevel="1" x14ac:dyDescent="0.25">
      <c r="B29" s="130" t="s">
        <v>22</v>
      </c>
      <c r="C29" s="29">
        <v>749.69666299186065</v>
      </c>
      <c r="D29" s="29">
        <v>718.15645463027613</v>
      </c>
      <c r="E29" s="29">
        <v>505.93893314817979</v>
      </c>
      <c r="F29" s="29">
        <v>504.96062974771849</v>
      </c>
      <c r="G29" s="29">
        <v>468.25155238687876</v>
      </c>
      <c r="H29" s="29">
        <f>SUM(C29:G29)</f>
        <v>2947.0042329049138</v>
      </c>
    </row>
    <row r="30" spans="2:8" hidden="1" outlineLevel="1" x14ac:dyDescent="0.25">
      <c r="B30" s="25" t="s">
        <v>199</v>
      </c>
      <c r="C30" s="27">
        <f t="shared" ref="C30:H30" si="2">SUM(C27:C29)</f>
        <v>31932.395409158231</v>
      </c>
      <c r="D30" s="27">
        <f t="shared" si="2"/>
        <v>33440.205324465853</v>
      </c>
      <c r="E30" s="27">
        <f t="shared" si="2"/>
        <v>32553.663631276147</v>
      </c>
      <c r="F30" s="27">
        <f t="shared" si="2"/>
        <v>32270.571335254968</v>
      </c>
      <c r="G30" s="27">
        <f t="shared" si="2"/>
        <v>32571.148028795615</v>
      </c>
      <c r="H30" s="27">
        <f t="shared" si="2"/>
        <v>162767.98372895081</v>
      </c>
    </row>
    <row r="31" spans="2:8" hidden="1" outlineLevel="1" x14ac:dyDescent="0.25">
      <c r="B31" s="41" t="s">
        <v>72</v>
      </c>
      <c r="C31" s="183">
        <f t="shared" ref="C31:H31" si="3">C30-C20</f>
        <v>0</v>
      </c>
      <c r="D31" s="183">
        <f t="shared" si="3"/>
        <v>0</v>
      </c>
      <c r="E31" s="183">
        <f t="shared" si="3"/>
        <v>0</v>
      </c>
      <c r="F31" s="183">
        <f t="shared" si="3"/>
        <v>0</v>
      </c>
      <c r="G31" s="183">
        <f t="shared" si="3"/>
        <v>0</v>
      </c>
      <c r="H31" s="183">
        <f t="shared" si="3"/>
        <v>0</v>
      </c>
    </row>
    <row r="32" spans="2:8" hidden="1" outlineLevel="1" x14ac:dyDescent="0.25">
      <c r="B32" s="41" t="s">
        <v>73</v>
      </c>
      <c r="C32" s="183"/>
      <c r="D32" s="183"/>
      <c r="E32" s="183"/>
      <c r="F32" s="183"/>
      <c r="G32" s="183"/>
      <c r="H32" s="183"/>
    </row>
    <row r="33" spans="2:14" collapsed="1" x14ac:dyDescent="0.25">
      <c r="B33" s="41"/>
      <c r="C33" s="183"/>
      <c r="D33" s="183"/>
      <c r="E33" s="183"/>
      <c r="F33" s="183"/>
      <c r="G33" s="183"/>
      <c r="H33" s="183"/>
    </row>
    <row r="34" spans="2:14" x14ac:dyDescent="0.25">
      <c r="B34" t="s">
        <v>202</v>
      </c>
      <c r="C34" s="170">
        <v>2016</v>
      </c>
      <c r="D34" s="170">
        <v>2017</v>
      </c>
      <c r="E34" s="170">
        <v>2018</v>
      </c>
      <c r="F34" s="170">
        <v>2019</v>
      </c>
      <c r="G34" s="170">
        <v>2020</v>
      </c>
      <c r="H34" s="170" t="s">
        <v>6</v>
      </c>
    </row>
    <row r="35" spans="2:14" x14ac:dyDescent="0.25">
      <c r="B35" t="s">
        <v>166</v>
      </c>
      <c r="C35" s="27">
        <f t="shared" ref="C35:G36" si="4">C20/C$22*C$13</f>
        <v>7504.5570046135927</v>
      </c>
      <c r="D35" s="27">
        <f t="shared" si="4"/>
        <v>7891.4544489774435</v>
      </c>
      <c r="E35" s="27">
        <f t="shared" si="4"/>
        <v>7761.7261376473198</v>
      </c>
      <c r="F35" s="27">
        <f t="shared" si="4"/>
        <v>7647.0927327958962</v>
      </c>
      <c r="G35" s="27">
        <f t="shared" si="4"/>
        <v>7618.6493359112246</v>
      </c>
      <c r="H35" s="27">
        <f>SUM(C35:G35)</f>
        <v>38423.479659945478</v>
      </c>
    </row>
    <row r="36" spans="2:14" x14ac:dyDescent="0.25">
      <c r="B36" t="s">
        <v>167</v>
      </c>
      <c r="C36" s="29">
        <f t="shared" si="4"/>
        <v>334.39576910814225</v>
      </c>
      <c r="D36" s="29">
        <f t="shared" si="4"/>
        <v>384.29848108953831</v>
      </c>
      <c r="E36" s="29">
        <f t="shared" si="4"/>
        <v>383.82717974764222</v>
      </c>
      <c r="F36" s="29">
        <f t="shared" si="4"/>
        <v>436.60177595795915</v>
      </c>
      <c r="G36" s="29">
        <f t="shared" si="4"/>
        <v>354.08675157591728</v>
      </c>
      <c r="H36" s="29">
        <f>SUM(C36:G36)</f>
        <v>1893.2099574791991</v>
      </c>
    </row>
    <row r="37" spans="2:14" x14ac:dyDescent="0.25">
      <c r="B37" s="25" t="s">
        <v>161</v>
      </c>
      <c r="C37" s="27">
        <f t="shared" ref="C37:H37" si="5">SUM(C35:C36)</f>
        <v>7838.952773721735</v>
      </c>
      <c r="D37" s="27">
        <f t="shared" si="5"/>
        <v>8275.7529300669812</v>
      </c>
      <c r="E37" s="27">
        <f t="shared" si="5"/>
        <v>8145.5533173949616</v>
      </c>
      <c r="F37" s="27">
        <f t="shared" si="5"/>
        <v>8083.6945087538552</v>
      </c>
      <c r="G37" s="27">
        <f t="shared" si="5"/>
        <v>7972.736087487142</v>
      </c>
      <c r="H37" s="27">
        <f t="shared" si="5"/>
        <v>40316.689617424679</v>
      </c>
    </row>
    <row r="38" spans="2:14" x14ac:dyDescent="0.25">
      <c r="B38" s="41" t="s">
        <v>72</v>
      </c>
      <c r="C38" s="182">
        <f>C37-C13</f>
        <v>0</v>
      </c>
      <c r="D38" s="182">
        <f>D37-D13</f>
        <v>0</v>
      </c>
      <c r="E38" s="182">
        <f>E37-E13</f>
        <v>0</v>
      </c>
      <c r="F38" s="182">
        <f>F37-F13</f>
        <v>0</v>
      </c>
      <c r="G38" s="182">
        <f>G37-G13</f>
        <v>0</v>
      </c>
      <c r="H38" s="27"/>
    </row>
    <row r="40" spans="2:14" x14ac:dyDescent="0.25">
      <c r="B40" s="451" t="s">
        <v>640</v>
      </c>
      <c r="C40" s="451"/>
      <c r="D40" s="451"/>
      <c r="E40" s="451"/>
      <c r="F40" s="451"/>
      <c r="G40" s="451"/>
      <c r="H40" s="451"/>
    </row>
    <row r="41" spans="2:14" x14ac:dyDescent="0.25">
      <c r="B41" s="451"/>
      <c r="C41" s="452">
        <v>2016</v>
      </c>
      <c r="D41" s="452">
        <v>2017</v>
      </c>
      <c r="E41" s="452">
        <v>2018</v>
      </c>
      <c r="F41" s="452">
        <v>2019</v>
      </c>
      <c r="G41" s="452">
        <v>2020</v>
      </c>
      <c r="H41" s="452" t="s">
        <v>6</v>
      </c>
    </row>
    <row r="42" spans="2:14" x14ac:dyDescent="0.25">
      <c r="B42" s="451" t="s">
        <v>638</v>
      </c>
      <c r="C42" s="453">
        <f>T1_Allowance!C67*Thousands/Capex_by_Purpose!C16</f>
        <v>182.50832281387466</v>
      </c>
      <c r="D42" s="453">
        <f>T1_Allowance!D67*Thousands/Capex_by_Purpose!D16</f>
        <v>1370.8220669060513</v>
      </c>
      <c r="E42" s="453">
        <f>T1_Allowance!E67*Thousands/Capex_by_Purpose!E16</f>
        <v>1042.3400938914328</v>
      </c>
      <c r="F42" s="453">
        <f>T1_Allowance!F67*Thousands/Capex_by_Purpose!F16</f>
        <v>3.1949086792674604</v>
      </c>
      <c r="G42" s="453">
        <f>T1_Allowance!G67*Thousands/Capex_by_Purpose!G16</f>
        <v>0</v>
      </c>
      <c r="H42" s="453">
        <f>SUM(C42:G42)</f>
        <v>2598.865392290626</v>
      </c>
    </row>
    <row r="43" spans="2:14" x14ac:dyDescent="0.25">
      <c r="B43" s="451" t="s">
        <v>639</v>
      </c>
      <c r="C43" s="461">
        <f>T2_Allowance!C51*Thousands/Capex_by_Purpose!C16</f>
        <v>0</v>
      </c>
      <c r="D43" s="461">
        <f>T2_Allowance!D51*Thousands/Capex_by_Purpose!D16</f>
        <v>0</v>
      </c>
      <c r="E43" s="461">
        <f>T2_Allowance!E51*Thousands/Capex_by_Purpose!E16</f>
        <v>434.55251821773845</v>
      </c>
      <c r="F43" s="461">
        <f>T2_Allowance!F51*Thousands/Capex_by_Purpose!F16</f>
        <v>1890.1589098450136</v>
      </c>
      <c r="G43" s="461">
        <f>T2_Allowance!G51*Thousands/Capex_by_Purpose!G16</f>
        <v>1123.4818550967468</v>
      </c>
      <c r="H43" s="461">
        <f>SUM(C43:G43)</f>
        <v>3448.1932831594986</v>
      </c>
    </row>
    <row r="44" spans="2:14" x14ac:dyDescent="0.25">
      <c r="B44" s="451" t="s">
        <v>641</v>
      </c>
      <c r="C44" s="634">
        <f t="shared" ref="C44:H44" si="6">SUM(C42:C43)</f>
        <v>182.50832281387466</v>
      </c>
      <c r="D44" s="634">
        <f t="shared" si="6"/>
        <v>1370.8220669060513</v>
      </c>
      <c r="E44" s="634">
        <f t="shared" si="6"/>
        <v>1476.8926121091713</v>
      </c>
      <c r="F44" s="634">
        <f t="shared" si="6"/>
        <v>1893.353818524281</v>
      </c>
      <c r="G44" s="634">
        <f t="shared" si="6"/>
        <v>1123.4818550967468</v>
      </c>
      <c r="H44" s="634">
        <f t="shared" si="6"/>
        <v>6047.0586754501246</v>
      </c>
      <c r="J44" s="713"/>
      <c r="K44" s="713"/>
      <c r="L44" s="713"/>
      <c r="M44" s="713"/>
      <c r="N44" s="713"/>
    </row>
    <row r="45" spans="2:14" ht="15.75" thickBot="1" x14ac:dyDescent="0.3">
      <c r="B45" s="458" t="s">
        <v>543</v>
      </c>
      <c r="C45" s="467">
        <f t="shared" ref="C45:H45" si="7">C35+C44</f>
        <v>7687.0653274274673</v>
      </c>
      <c r="D45" s="467">
        <f t="shared" si="7"/>
        <v>9262.2765158834954</v>
      </c>
      <c r="E45" s="467">
        <f t="shared" si="7"/>
        <v>9238.6187497564915</v>
      </c>
      <c r="F45" s="467">
        <f t="shared" si="7"/>
        <v>9540.4465513201776</v>
      </c>
      <c r="G45" s="467">
        <f t="shared" si="7"/>
        <v>8742.1311910079712</v>
      </c>
      <c r="H45" s="467">
        <f t="shared" si="7"/>
        <v>44470.538335395606</v>
      </c>
    </row>
    <row r="47" spans="2:14" ht="22.15" customHeight="1" x14ac:dyDescent="0.25">
      <c r="B47" s="179" t="s">
        <v>206</v>
      </c>
      <c r="C47" s="126"/>
      <c r="D47" s="126"/>
      <c r="E47" s="126"/>
      <c r="F47" s="126"/>
      <c r="G47" s="126"/>
      <c r="H47" s="126"/>
    </row>
    <row r="48" spans="2:14" x14ac:dyDescent="0.25">
      <c r="B48" s="68" t="s">
        <v>538</v>
      </c>
      <c r="C48" s="4">
        <v>2016</v>
      </c>
      <c r="D48" s="4">
        <v>2017</v>
      </c>
      <c r="E48" s="4">
        <v>2018</v>
      </c>
      <c r="F48" s="4">
        <v>2019</v>
      </c>
      <c r="G48" s="4">
        <v>2020</v>
      </c>
      <c r="H48" s="4" t="s">
        <v>6</v>
      </c>
    </row>
    <row r="49" spans="2:18" x14ac:dyDescent="0.25">
      <c r="B49" t="s">
        <v>18</v>
      </c>
      <c r="C49" s="27">
        <v>41164.039126808901</v>
      </c>
      <c r="D49" s="27">
        <v>44845.174911760521</v>
      </c>
      <c r="E49" s="27">
        <v>41260.419691024756</v>
      </c>
      <c r="F49" s="27">
        <v>42850.2636722963</v>
      </c>
      <c r="G49" s="27">
        <v>39025.007672823551</v>
      </c>
      <c r="H49" s="28">
        <f>SUM(C49:G49)</f>
        <v>209144.90507471404</v>
      </c>
    </row>
    <row r="50" spans="2:18" x14ac:dyDescent="0.25">
      <c r="B50" t="s">
        <v>19</v>
      </c>
      <c r="C50" s="27">
        <v>230266.30687380279</v>
      </c>
      <c r="D50" s="27">
        <v>243389.59141651404</v>
      </c>
      <c r="E50" s="27">
        <v>237414.84646490234</v>
      </c>
      <c r="F50" s="27">
        <v>229301.64887918936</v>
      </c>
      <c r="G50" s="27">
        <v>224038.59740528918</v>
      </c>
      <c r="H50" s="28">
        <f>SUM(C50:G50)</f>
        <v>1164410.9910396978</v>
      </c>
    </row>
    <row r="51" spans="2:18" x14ac:dyDescent="0.25">
      <c r="B51" t="s">
        <v>22</v>
      </c>
      <c r="C51" s="29">
        <v>6320.0321485080858</v>
      </c>
      <c r="D51" s="29">
        <v>6136.9343275047768</v>
      </c>
      <c r="E51" s="29">
        <v>4240.8749016524453</v>
      </c>
      <c r="F51" s="29">
        <v>4156.2805150654722</v>
      </c>
      <c r="G51" s="29">
        <v>3696.5553955380069</v>
      </c>
      <c r="H51" s="52">
        <f>SUM(C51:G51)</f>
        <v>24550.677288268784</v>
      </c>
    </row>
    <row r="52" spans="2:18" x14ac:dyDescent="0.25">
      <c r="B52" s="25" t="s">
        <v>537</v>
      </c>
      <c r="C52" s="120">
        <f t="shared" ref="C52:H52" si="8">SUM(C49:C51)</f>
        <v>277750.37814911973</v>
      </c>
      <c r="D52" s="120">
        <f t="shared" si="8"/>
        <v>294371.70065577934</v>
      </c>
      <c r="E52" s="120">
        <f t="shared" si="8"/>
        <v>282916.14105757955</v>
      </c>
      <c r="F52" s="120">
        <f t="shared" si="8"/>
        <v>276308.19306655112</v>
      </c>
      <c r="G52" s="120">
        <f t="shared" si="8"/>
        <v>266760.16047365073</v>
      </c>
      <c r="H52" s="120">
        <f t="shared" si="8"/>
        <v>1398106.5734026805</v>
      </c>
      <c r="J52" s="120"/>
      <c r="K52" s="120"/>
      <c r="L52" s="120"/>
      <c r="M52" s="120"/>
      <c r="N52" s="120"/>
    </row>
    <row r="53" spans="2:18" x14ac:dyDescent="0.25">
      <c r="B53" s="41" t="s">
        <v>72</v>
      </c>
      <c r="C53" s="183">
        <f>C52-SUM(Capex_by_Purpose!C21:C23)</f>
        <v>0</v>
      </c>
      <c r="D53" s="183">
        <f>D52-SUM(Capex_by_Purpose!D21:D23)</f>
        <v>0</v>
      </c>
      <c r="E53" s="183">
        <f>E52-SUM(Capex_by_Purpose!E21:E23)</f>
        <v>0</v>
      </c>
      <c r="F53" s="183">
        <f>F52-SUM(Capex_by_Purpose!F21:F23)</f>
        <v>0</v>
      </c>
      <c r="G53" s="183">
        <f>G52-SUM(Capex_by_Purpose!G21:G23)</f>
        <v>0</v>
      </c>
      <c r="H53" s="183">
        <f>H52-SUM(Capex_by_Purpose!H21:H23)</f>
        <v>0</v>
      </c>
      <c r="J53" s="120"/>
      <c r="K53" s="120"/>
      <c r="L53" s="120"/>
      <c r="M53" s="120"/>
      <c r="N53" s="120"/>
    </row>
    <row r="54" spans="2:18" x14ac:dyDescent="0.25">
      <c r="B54" s="41"/>
      <c r="C54" s="183"/>
      <c r="D54" s="183"/>
      <c r="E54" s="183"/>
      <c r="F54" s="183"/>
      <c r="G54" s="183"/>
      <c r="H54" s="183"/>
      <c r="J54" s="120"/>
      <c r="K54" s="120"/>
      <c r="L54" s="120"/>
      <c r="M54" s="120"/>
      <c r="N54" s="120"/>
    </row>
    <row r="55" spans="2:18" x14ac:dyDescent="0.25">
      <c r="B55" s="458" t="s">
        <v>637</v>
      </c>
      <c r="C55" s="454"/>
      <c r="D55" s="454"/>
      <c r="E55" s="454"/>
      <c r="F55" s="454"/>
      <c r="G55" s="454"/>
      <c r="H55" s="454"/>
      <c r="J55" t="s">
        <v>722</v>
      </c>
    </row>
    <row r="56" spans="2:18" x14ac:dyDescent="0.25">
      <c r="B56" s="455" t="s">
        <v>538</v>
      </c>
      <c r="C56" s="452">
        <v>2016</v>
      </c>
      <c r="D56" s="452">
        <v>2017</v>
      </c>
      <c r="E56" s="452">
        <v>2018</v>
      </c>
      <c r="F56" s="452">
        <v>2019</v>
      </c>
      <c r="G56" s="452">
        <v>2020</v>
      </c>
      <c r="H56" s="452" t="s">
        <v>6</v>
      </c>
      <c r="J56" s="703">
        <v>2016</v>
      </c>
      <c r="K56" s="703">
        <v>2017</v>
      </c>
      <c r="L56" s="703">
        <v>2018</v>
      </c>
      <c r="M56" s="703">
        <v>2019</v>
      </c>
      <c r="N56" s="703">
        <v>2020</v>
      </c>
    </row>
    <row r="57" spans="2:18" x14ac:dyDescent="0.25">
      <c r="B57" s="451" t="s">
        <v>18</v>
      </c>
      <c r="C57" s="456">
        <f>T1_Allowance!C45*Thousands+J57</f>
        <v>2612.9085153712331</v>
      </c>
      <c r="D57" s="456">
        <f>T1_Allowance!D45*Thousands+K57</f>
        <v>15761.592542065533</v>
      </c>
      <c r="E57" s="456">
        <f>T1_Allowance!E45*Thousands+L57</f>
        <v>12550.078644313307</v>
      </c>
      <c r="F57" s="456">
        <f>T1_Allowance!F45*Thousands+M57</f>
        <v>18980.328393935401</v>
      </c>
      <c r="G57" s="456">
        <f>T1_Allowance!G45*Thousands+N57</f>
        <v>5993.104640106274</v>
      </c>
      <c r="H57" s="456">
        <f>SUM(C57:G57)</f>
        <v>55898.012735791752</v>
      </c>
      <c r="J57" s="706">
        <v>0</v>
      </c>
      <c r="K57" s="706">
        <v>0</v>
      </c>
      <c r="L57" s="706">
        <v>4143.4494718761343</v>
      </c>
      <c r="M57" s="706">
        <v>18916.029630341629</v>
      </c>
      <c r="N57" s="706">
        <v>5993.104640106274</v>
      </c>
    </row>
    <row r="58" spans="2:18" x14ac:dyDescent="0.25">
      <c r="B58" s="451" t="s">
        <v>19</v>
      </c>
      <c r="C58" s="456">
        <f>T1_Allowance!C46*Thousands+J58</f>
        <v>1880.6939536730224</v>
      </c>
      <c r="D58" s="456">
        <f>T1_Allowance!D46*Thousands+K58</f>
        <v>23991.465642208284</v>
      </c>
      <c r="E58" s="456">
        <f>T1_Allowance!E46*Thousands+L58</f>
        <v>32572.581259861512</v>
      </c>
      <c r="F58" s="456">
        <f>T1_Allowance!F46*Thousands+M58</f>
        <v>28408.725155400931</v>
      </c>
      <c r="G58" s="456">
        <f>T1_Allowance!G46*Thousands+N58</f>
        <v>27367.211498751938</v>
      </c>
      <c r="H58" s="456">
        <f>SUM(C58:G58)</f>
        <v>114220.67750989567</v>
      </c>
      <c r="J58" s="27">
        <v>0</v>
      </c>
      <c r="K58" s="27">
        <v>0</v>
      </c>
      <c r="L58" s="140">
        <v>8588.0059373572076</v>
      </c>
      <c r="M58" s="140">
        <v>28408.725155400931</v>
      </c>
      <c r="N58" s="140">
        <v>27367.211498751938</v>
      </c>
    </row>
    <row r="59" spans="2:18" x14ac:dyDescent="0.25">
      <c r="B59" s="451" t="s">
        <v>22</v>
      </c>
      <c r="C59" s="457">
        <f>T1_Allowance!C47*Thousands+J59</f>
        <v>0</v>
      </c>
      <c r="D59" s="457">
        <f>T1_Allowance!D47*Thousands+K59</f>
        <v>0</v>
      </c>
      <c r="E59" s="457">
        <f>T1_Allowance!E47*Thousands+L59</f>
        <v>3106.9460496902489</v>
      </c>
      <c r="F59" s="457">
        <f>T1_Allowance!F47*Thousands+M59</f>
        <v>20971.316837409959</v>
      </c>
      <c r="G59" s="457">
        <f>T1_Allowance!G47*Thousands+N59</f>
        <v>5977.3914705703492</v>
      </c>
      <c r="H59" s="457">
        <f>SUM(C59:G59)</f>
        <v>30055.654357670559</v>
      </c>
      <c r="J59" s="707">
        <v>0</v>
      </c>
      <c r="K59" s="707">
        <v>0</v>
      </c>
      <c r="L59" s="707">
        <v>3106.9460496902489</v>
      </c>
      <c r="M59" s="707">
        <v>20971.316837409959</v>
      </c>
      <c r="N59" s="707">
        <v>5977.3914705703492</v>
      </c>
    </row>
    <row r="60" spans="2:18" x14ac:dyDescent="0.25">
      <c r="B60" s="458" t="s">
        <v>711</v>
      </c>
      <c r="C60" s="456">
        <f t="shared" ref="C60:H60" si="9">SUM(C57:C59)</f>
        <v>4493.6024690442555</v>
      </c>
      <c r="D60" s="456">
        <f t="shared" si="9"/>
        <v>39753.058184273817</v>
      </c>
      <c r="E60" s="456">
        <f t="shared" si="9"/>
        <v>48229.605953865066</v>
      </c>
      <c r="F60" s="456">
        <f t="shared" si="9"/>
        <v>68360.37038674629</v>
      </c>
      <c r="G60" s="456">
        <f t="shared" si="9"/>
        <v>39337.707609428558</v>
      </c>
      <c r="H60" s="456">
        <f t="shared" si="9"/>
        <v>200174.34460335801</v>
      </c>
      <c r="J60" s="28">
        <f>SUM(J57:J59)</f>
        <v>0</v>
      </c>
      <c r="K60" s="28">
        <f>SUM(K57:K59)</f>
        <v>0</v>
      </c>
      <c r="L60" s="28">
        <f>SUM(L57:L59)</f>
        <v>15838.40145892359</v>
      </c>
      <c r="M60" s="28">
        <f>SUM(M57:M59)</f>
        <v>68296.071623152515</v>
      </c>
      <c r="N60" s="28">
        <f>SUM(N57:N59)</f>
        <v>39337.707609428558</v>
      </c>
    </row>
    <row r="61" spans="2:18" x14ac:dyDescent="0.25">
      <c r="B61" s="141"/>
      <c r="C61" s="449"/>
      <c r="D61" s="449"/>
      <c r="E61" s="449"/>
      <c r="F61" s="449"/>
      <c r="G61" s="449"/>
      <c r="H61" s="449"/>
    </row>
    <row r="62" spans="2:18" x14ac:dyDescent="0.25">
      <c r="B62" s="451" t="s">
        <v>544</v>
      </c>
      <c r="C62" s="456">
        <f>C52+C60</f>
        <v>282243.980618164</v>
      </c>
      <c r="D62" s="456">
        <f>D52+D60</f>
        <v>334124.75884005317</v>
      </c>
      <c r="E62" s="456">
        <f>E52+E60</f>
        <v>331145.74701144459</v>
      </c>
      <c r="F62" s="456">
        <f>F52+F60</f>
        <v>344668.56345329742</v>
      </c>
      <c r="G62" s="456">
        <f>G52+G60</f>
        <v>306097.86808307929</v>
      </c>
      <c r="H62" s="456">
        <f>SUM(C62:G62)</f>
        <v>1598280.9180060385</v>
      </c>
      <c r="J62" s="27"/>
      <c r="K62" s="27"/>
      <c r="L62" s="27"/>
      <c r="M62" s="27"/>
      <c r="N62" s="27"/>
      <c r="P62" s="28"/>
      <c r="Q62" s="28"/>
      <c r="R62" s="28"/>
    </row>
    <row r="63" spans="2:18" x14ac:dyDescent="0.25">
      <c r="B63" s="139"/>
      <c r="C63" s="183"/>
      <c r="D63" s="183"/>
      <c r="E63" s="183"/>
      <c r="F63" s="183"/>
      <c r="G63" s="183"/>
      <c r="H63" s="183"/>
    </row>
    <row r="64" spans="2:18" ht="19.899999999999999" customHeight="1" x14ac:dyDescent="0.25">
      <c r="B64" s="118" t="s">
        <v>207</v>
      </c>
      <c r="C64" s="178"/>
      <c r="D64" s="178"/>
      <c r="E64" s="178"/>
      <c r="F64" s="178"/>
      <c r="G64" s="178"/>
      <c r="H64" s="178"/>
      <c r="L64" s="28"/>
      <c r="M64" s="28"/>
      <c r="N64" s="28"/>
    </row>
    <row r="65" spans="2:14" x14ac:dyDescent="0.25">
      <c r="B65" s="68" t="s">
        <v>636</v>
      </c>
      <c r="C65" s="4">
        <v>2016</v>
      </c>
      <c r="D65" s="4">
        <v>2017</v>
      </c>
      <c r="E65" s="4">
        <v>2018</v>
      </c>
      <c r="F65" s="4">
        <v>2019</v>
      </c>
      <c r="G65" s="4">
        <v>2020</v>
      </c>
      <c r="H65" s="4" t="s">
        <v>6</v>
      </c>
    </row>
    <row r="66" spans="2:14" x14ac:dyDescent="0.25">
      <c r="B66" t="s">
        <v>18</v>
      </c>
      <c r="C66" s="27">
        <f>Direct_Summary!D55</f>
        <v>0</v>
      </c>
      <c r="D66" s="27">
        <f>Direct_Summary!E55</f>
        <v>0</v>
      </c>
      <c r="E66" s="27">
        <f>Direct_Summary!F55</f>
        <v>0</v>
      </c>
      <c r="F66" s="27">
        <f>Direct_Summary!G55</f>
        <v>4272.0348059689013</v>
      </c>
      <c r="G66" s="27">
        <f>Direct_Summary!H55</f>
        <v>14178.89148720332</v>
      </c>
      <c r="H66" s="28">
        <f>SUM(C66:G66)</f>
        <v>18450.926293172222</v>
      </c>
    </row>
    <row r="67" spans="2:14" x14ac:dyDescent="0.25">
      <c r="B67" t="s">
        <v>19</v>
      </c>
      <c r="C67" s="27">
        <f>Direct_Summary!D59</f>
        <v>0</v>
      </c>
      <c r="D67" s="27">
        <f>Direct_Summary!E59</f>
        <v>0</v>
      </c>
      <c r="E67" s="27">
        <f>Direct_Summary!F59</f>
        <v>227.67084932491159</v>
      </c>
      <c r="F67" s="27">
        <f>Direct_Summary!G59</f>
        <v>3019.608160633541</v>
      </c>
      <c r="G67" s="27">
        <f>Direct_Summary!H59</f>
        <v>8603.5529377300718</v>
      </c>
      <c r="H67" s="28">
        <f>SUM(C67:G67)</f>
        <v>11850.831947688524</v>
      </c>
    </row>
    <row r="68" spans="2:14" x14ac:dyDescent="0.25">
      <c r="B68" t="s">
        <v>22</v>
      </c>
      <c r="C68" s="29">
        <f>Direct_Summary!D63</f>
        <v>0</v>
      </c>
      <c r="D68" s="29">
        <f>Direct_Summary!E63</f>
        <v>0</v>
      </c>
      <c r="E68" s="29">
        <f>Direct_Summary!F63</f>
        <v>0</v>
      </c>
      <c r="F68" s="29">
        <f>Direct_Summary!G63</f>
        <v>1945.0841955242652</v>
      </c>
      <c r="G68" s="29">
        <f>Direct_Summary!H63</f>
        <v>5003.495987070185</v>
      </c>
      <c r="H68" s="52">
        <f>SUM(C68:G68)</f>
        <v>6948.58018259445</v>
      </c>
    </row>
    <row r="69" spans="2:14" x14ac:dyDescent="0.25">
      <c r="B69" s="25" t="s">
        <v>170</v>
      </c>
      <c r="C69" s="27">
        <f t="shared" ref="C69:H69" si="10">SUM(C66:C68)</f>
        <v>0</v>
      </c>
      <c r="D69" s="27">
        <f t="shared" si="10"/>
        <v>0</v>
      </c>
      <c r="E69" s="27">
        <f t="shared" si="10"/>
        <v>227.67084932491159</v>
      </c>
      <c r="F69" s="27">
        <f t="shared" si="10"/>
        <v>9236.7271621267082</v>
      </c>
      <c r="G69" s="27">
        <f t="shared" si="10"/>
        <v>27785.940412003576</v>
      </c>
      <c r="H69" s="27">
        <f t="shared" si="10"/>
        <v>37250.3384234552</v>
      </c>
      <c r="J69" s="27"/>
      <c r="K69" s="27"/>
      <c r="L69" s="27"/>
      <c r="M69" s="27"/>
      <c r="N69" s="27"/>
    </row>
    <row r="70" spans="2:14" x14ac:dyDescent="0.25">
      <c r="B70" s="41" t="s">
        <v>72</v>
      </c>
      <c r="C70" s="182">
        <f>C69-(Direct_Summary!D69-Direct_Summary!D68)</f>
        <v>0</v>
      </c>
      <c r="D70" s="182">
        <f>D69-(Direct_Summary!E69-Direct_Summary!E68)</f>
        <v>0</v>
      </c>
      <c r="E70" s="182">
        <f>E69-(Direct_Summary!F69-Direct_Summary!F68)</f>
        <v>0</v>
      </c>
      <c r="F70" s="182">
        <f>F69-(Direct_Summary!G69-Direct_Summary!G68)</f>
        <v>0</v>
      </c>
      <c r="G70" s="182">
        <f>G69-(Direct_Summary!H69-Direct_Summary!H68)</f>
        <v>0</v>
      </c>
      <c r="H70" s="182">
        <f>H69-(Direct_Summary!I69-Direct_Summary!I68)</f>
        <v>0</v>
      </c>
    </row>
    <row r="71" spans="2:14" x14ac:dyDescent="0.25">
      <c r="C71" s="27"/>
      <c r="D71" s="27"/>
      <c r="E71" s="27"/>
      <c r="F71" s="27"/>
      <c r="G71" s="27"/>
      <c r="H71" s="27"/>
    </row>
    <row r="72" spans="2:14" x14ac:dyDescent="0.25">
      <c r="B72" s="25" t="s">
        <v>143</v>
      </c>
      <c r="C72" s="453">
        <f>C62+C69</f>
        <v>282243.980618164</v>
      </c>
      <c r="D72" s="453">
        <f>D62+D69</f>
        <v>334124.75884005317</v>
      </c>
      <c r="E72" s="453">
        <f>E62+E69</f>
        <v>331373.41786076949</v>
      </c>
      <c r="F72" s="453">
        <f>F62+F69</f>
        <v>353905.29061542411</v>
      </c>
      <c r="G72" s="453">
        <f>G62+G69</f>
        <v>333883.80849508289</v>
      </c>
      <c r="H72" s="28">
        <f>SUM(C72:G72)</f>
        <v>1635531.2564294937</v>
      </c>
      <c r="J72" s="27"/>
      <c r="K72" s="27"/>
      <c r="L72" s="27"/>
      <c r="M72" s="27"/>
      <c r="N72" s="27"/>
    </row>
    <row r="74" spans="2:14" x14ac:dyDescent="0.25">
      <c r="B74" t="s">
        <v>129</v>
      </c>
      <c r="C74" s="153">
        <f t="shared" ref="C74:H74" si="11">C72/C62</f>
        <v>1</v>
      </c>
      <c r="D74" s="153">
        <f t="shared" si="11"/>
        <v>1</v>
      </c>
      <c r="E74" s="153">
        <f t="shared" si="11"/>
        <v>1.0006875246062485</v>
      </c>
      <c r="F74" s="153">
        <f t="shared" si="11"/>
        <v>1.0267988674963049</v>
      </c>
      <c r="G74" s="153">
        <f t="shared" si="11"/>
        <v>1.0907746943355454</v>
      </c>
      <c r="H74" s="153">
        <f t="shared" si="11"/>
        <v>1.0233065026327959</v>
      </c>
      <c r="J74" s="30"/>
      <c r="K74" s="30"/>
      <c r="L74" s="30"/>
      <c r="M74" s="30"/>
      <c r="N74" s="30"/>
    </row>
    <row r="75" spans="2:14" x14ac:dyDescent="0.25">
      <c r="C75" s="153"/>
      <c r="D75" s="153"/>
      <c r="E75" s="153"/>
      <c r="F75" s="153"/>
      <c r="G75" s="153"/>
      <c r="H75" s="153"/>
      <c r="J75" s="30"/>
      <c r="K75" s="30"/>
      <c r="L75" s="30"/>
      <c r="M75" s="30"/>
      <c r="N75" s="30"/>
    </row>
    <row r="76" spans="2:14" x14ac:dyDescent="0.25">
      <c r="B76" s="25" t="s">
        <v>165</v>
      </c>
      <c r="C76" s="32">
        <f>(C74-1)*C45*Capex_by_Purpose!C$16</f>
        <v>0</v>
      </c>
      <c r="D76" s="33">
        <f>(D74-1)*D45*Capex_by_Purpose!D$16</f>
        <v>0</v>
      </c>
      <c r="E76" s="33">
        <f>(E74-1)*E45*Capex_by_Purpose!E$16</f>
        <v>6.305386042599415</v>
      </c>
      <c r="F76" s="33">
        <f>(F74-1)*F45*Capex_by_Purpose!F$16</f>
        <v>253.53886493081058</v>
      </c>
      <c r="G76" s="34">
        <f>(G74-1)*G45*Capex_by_Purpose!G$16</f>
        <v>786.51613742806296</v>
      </c>
      <c r="H76" s="28">
        <f>SUM(C76:G76)</f>
        <v>1046.3603884014728</v>
      </c>
    </row>
    <row r="78" spans="2:14" ht="21" customHeight="1" x14ac:dyDescent="0.25">
      <c r="B78" s="118" t="s">
        <v>169</v>
      </c>
      <c r="C78" s="178"/>
      <c r="D78" s="178"/>
      <c r="E78" s="178"/>
      <c r="F78" s="178"/>
      <c r="G78" s="178"/>
      <c r="H78" s="178"/>
    </row>
    <row r="79" spans="2:14" x14ac:dyDescent="0.25">
      <c r="C79" s="170">
        <v>2016</v>
      </c>
      <c r="D79" s="170">
        <v>2017</v>
      </c>
      <c r="E79" s="170">
        <v>2018</v>
      </c>
      <c r="F79" s="170">
        <v>2019</v>
      </c>
      <c r="G79" s="170">
        <v>2020</v>
      </c>
      <c r="H79" s="170" t="s">
        <v>6</v>
      </c>
    </row>
    <row r="80" spans="2:14" x14ac:dyDescent="0.25">
      <c r="B80" t="s">
        <v>18</v>
      </c>
      <c r="C80" s="27">
        <f t="shared" ref="C80:G82" si="12">IF(ISERROR(C66/C$69*C$76),0,C66/C$69*C$76)</f>
        <v>0</v>
      </c>
      <c r="D80" s="27">
        <f t="shared" si="12"/>
        <v>0</v>
      </c>
      <c r="E80" s="27">
        <f t="shared" si="12"/>
        <v>0</v>
      </c>
      <c r="F80" s="27">
        <f t="shared" si="12"/>
        <v>117.26305612786841</v>
      </c>
      <c r="G80" s="27">
        <f t="shared" si="12"/>
        <v>401.35143170137752</v>
      </c>
      <c r="H80" s="27">
        <f>SUM(C80:G80)</f>
        <v>518.61448782924595</v>
      </c>
    </row>
    <row r="81" spans="2:14" x14ac:dyDescent="0.25">
      <c r="B81" t="s">
        <v>19</v>
      </c>
      <c r="C81" s="27">
        <f t="shared" si="12"/>
        <v>0</v>
      </c>
      <c r="D81" s="27">
        <f t="shared" si="12"/>
        <v>0</v>
      </c>
      <c r="E81" s="27">
        <f t="shared" si="12"/>
        <v>6.305386042599415</v>
      </c>
      <c r="F81" s="27">
        <f t="shared" si="12"/>
        <v>82.885205132178882</v>
      </c>
      <c r="G81" s="27">
        <f t="shared" si="12"/>
        <v>243.53443232096029</v>
      </c>
      <c r="H81" s="27">
        <f>SUM(C81:G81)</f>
        <v>332.72502349573858</v>
      </c>
    </row>
    <row r="82" spans="2:14" x14ac:dyDescent="0.25">
      <c r="B82" t="s">
        <v>22</v>
      </c>
      <c r="C82" s="29">
        <f t="shared" si="12"/>
        <v>0</v>
      </c>
      <c r="D82" s="29">
        <f t="shared" si="12"/>
        <v>0</v>
      </c>
      <c r="E82" s="29">
        <f t="shared" si="12"/>
        <v>0</v>
      </c>
      <c r="F82" s="29">
        <f t="shared" si="12"/>
        <v>53.390603670763269</v>
      </c>
      <c r="G82" s="29">
        <f t="shared" si="12"/>
        <v>141.63027340572521</v>
      </c>
      <c r="H82" s="29">
        <f>SUM(C82:G82)</f>
        <v>195.02087707648849</v>
      </c>
    </row>
    <row r="83" spans="2:14" x14ac:dyDescent="0.25">
      <c r="B83" s="25" t="s">
        <v>6</v>
      </c>
      <c r="C83" s="27">
        <f t="shared" ref="C83:H83" si="13">SUM(C80:C82)</f>
        <v>0</v>
      </c>
      <c r="D83" s="27">
        <f t="shared" si="13"/>
        <v>0</v>
      </c>
      <c r="E83" s="27">
        <f t="shared" si="13"/>
        <v>6.305386042599415</v>
      </c>
      <c r="F83" s="27">
        <f t="shared" si="13"/>
        <v>253.53886493081058</v>
      </c>
      <c r="G83" s="27">
        <f t="shared" si="13"/>
        <v>786.51613742806308</v>
      </c>
      <c r="H83" s="27">
        <f t="shared" si="13"/>
        <v>1046.3603884014731</v>
      </c>
    </row>
    <row r="84" spans="2:14" x14ac:dyDescent="0.25">
      <c r="B84" s="41" t="s">
        <v>72</v>
      </c>
      <c r="C84" s="183">
        <f t="shared" ref="C84:H84" si="14">C83-C76</f>
        <v>0</v>
      </c>
      <c r="D84" s="183">
        <f t="shared" si="14"/>
        <v>0</v>
      </c>
      <c r="E84" s="183">
        <f t="shared" si="14"/>
        <v>0</v>
      </c>
      <c r="F84" s="183">
        <f t="shared" si="14"/>
        <v>0</v>
      </c>
      <c r="G84" s="183">
        <f t="shared" si="14"/>
        <v>0</v>
      </c>
      <c r="H84" s="183">
        <f t="shared" si="14"/>
        <v>0</v>
      </c>
    </row>
    <row r="85" spans="2:14" x14ac:dyDescent="0.25">
      <c r="C85" s="35"/>
      <c r="D85" s="35"/>
      <c r="E85" s="35"/>
      <c r="F85" s="35"/>
      <c r="G85" s="35"/>
    </row>
    <row r="86" spans="2:14" ht="21" customHeight="1" x14ac:dyDescent="0.25">
      <c r="B86" s="118" t="s">
        <v>171</v>
      </c>
      <c r="C86" s="178"/>
      <c r="D86" s="178"/>
      <c r="E86" s="178"/>
      <c r="F86" s="178"/>
      <c r="G86" s="178"/>
      <c r="H86" s="178"/>
    </row>
    <row r="87" spans="2:14" x14ac:dyDescent="0.25">
      <c r="C87" s="4">
        <v>2016</v>
      </c>
      <c r="D87" s="4">
        <v>2017</v>
      </c>
      <c r="E87" s="4">
        <v>2018</v>
      </c>
      <c r="F87" s="4">
        <v>2019</v>
      </c>
      <c r="G87" s="4">
        <v>2020</v>
      </c>
      <c r="H87" s="4" t="s">
        <v>6</v>
      </c>
    </row>
    <row r="88" spans="2:14" x14ac:dyDescent="0.25">
      <c r="B88" t="s">
        <v>93</v>
      </c>
      <c r="C88" s="114">
        <f>C10*Capex_by_Purpose!C$16</f>
        <v>25444.497356362212</v>
      </c>
      <c r="D88" s="114">
        <f>D10*Capex_by_Purpose!D$16</f>
        <v>26625.939977816372</v>
      </c>
      <c r="E88" s="114">
        <f>E10*Capex_by_Purpose!E$16</f>
        <v>25827.902213882291</v>
      </c>
      <c r="F88" s="114">
        <f>F10*Capex_by_Purpose!F$16</f>
        <v>25812.040625096644</v>
      </c>
      <c r="G88" s="114">
        <f>G10*Capex_by_Purpose!G$16</f>
        <v>25880.2798487084</v>
      </c>
      <c r="H88" s="28">
        <f>SUM(C88:G88)</f>
        <v>129590.66002186592</v>
      </c>
    </row>
    <row r="89" spans="2:14" x14ac:dyDescent="0.25">
      <c r="B89" t="s">
        <v>94</v>
      </c>
      <c r="C89" s="459">
        <f>(C37+C44)*Capex_by_Purpose!C$16+C76</f>
        <v>7998.882772093586</v>
      </c>
      <c r="D89" s="459">
        <f>(D37+D44)*Capex_by_Purpose!D$16+D76</f>
        <v>9586.4532726680955</v>
      </c>
      <c r="E89" s="459">
        <f>(E37+E44)*Capex_by_Purpose!E$16+E76</f>
        <v>9558.471559246178</v>
      </c>
      <c r="F89" s="459">
        <f>(F37+F44)*Capex_by_Purpose!F$16+F76</f>
        <v>10147.301193095855</v>
      </c>
      <c r="G89" s="459">
        <f>(G37+G44)*Capex_by_Purpose!G$16+G76</f>
        <v>9801.9447816666834</v>
      </c>
      <c r="H89" s="459">
        <f>SUM(C89:G89)</f>
        <v>47093.053578770399</v>
      </c>
    </row>
    <row r="90" spans="2:14" x14ac:dyDescent="0.25">
      <c r="B90" s="25" t="s">
        <v>168</v>
      </c>
      <c r="C90" s="114">
        <f t="shared" ref="C90:H90" si="15">SUM(C88:C89)</f>
        <v>33443.380128455799</v>
      </c>
      <c r="D90" s="114">
        <f t="shared" si="15"/>
        <v>36212.393250484471</v>
      </c>
      <c r="E90" s="114">
        <f t="shared" si="15"/>
        <v>35386.373773128471</v>
      </c>
      <c r="F90" s="114">
        <f t="shared" si="15"/>
        <v>35959.341818192501</v>
      </c>
      <c r="G90" s="114">
        <f t="shared" si="15"/>
        <v>35682.224630375087</v>
      </c>
      <c r="H90" s="114">
        <f t="shared" si="15"/>
        <v>176683.71360063631</v>
      </c>
    </row>
    <row r="91" spans="2:14" x14ac:dyDescent="0.25">
      <c r="B91" s="41" t="s">
        <v>72</v>
      </c>
      <c r="C91" s="6">
        <f>C90-(C17+C76+C44*Capex_by_Purpose!C16)</f>
        <v>0</v>
      </c>
      <c r="D91" s="6">
        <f>D90-(D17+D76+D44*Capex_by_Purpose!D16)</f>
        <v>0</v>
      </c>
      <c r="E91" s="6">
        <f>E90-(E17+E76+E44*Capex_by_Purpose!E16)</f>
        <v>0</v>
      </c>
      <c r="F91" s="6">
        <f>F90-(F17+F76+F44*Capex_by_Purpose!F16)</f>
        <v>0</v>
      </c>
      <c r="G91" s="6">
        <f>G90-(G17+G76+G44*Capex_by_Purpose!G16)</f>
        <v>0</v>
      </c>
      <c r="H91" s="6">
        <f>SUM(C91:G91)</f>
        <v>0</v>
      </c>
    </row>
    <row r="92" spans="2:14" x14ac:dyDescent="0.25">
      <c r="B92" s="130"/>
      <c r="J92" t="s">
        <v>712</v>
      </c>
    </row>
    <row r="93" spans="2:14" x14ac:dyDescent="0.25">
      <c r="B93" s="68" t="s">
        <v>200</v>
      </c>
      <c r="C93" s="171">
        <v>2016</v>
      </c>
      <c r="D93" s="171">
        <v>2017</v>
      </c>
      <c r="E93" s="171">
        <v>2018</v>
      </c>
      <c r="F93" s="171">
        <v>2019</v>
      </c>
      <c r="G93" s="171">
        <v>2020</v>
      </c>
      <c r="H93" s="171" t="s">
        <v>6</v>
      </c>
      <c r="J93" s="703">
        <v>2016</v>
      </c>
      <c r="K93" s="703">
        <v>2017</v>
      </c>
      <c r="L93" s="703">
        <v>2018</v>
      </c>
      <c r="M93" s="703">
        <v>2019</v>
      </c>
      <c r="N93" s="703">
        <v>2020</v>
      </c>
    </row>
    <row r="94" spans="2:14" x14ac:dyDescent="0.25">
      <c r="B94" t="s">
        <v>18</v>
      </c>
      <c r="C94" s="453">
        <f>C27*Capex_by_Purpose!C$16+T1_Allowance!C57*Thousands+J94+C80</f>
        <v>4874.4732012224722</v>
      </c>
      <c r="D94" s="453">
        <f>D27*Capex_by_Purpose!D$16+T1_Allowance!D57*Thousands+K94+D80</f>
        <v>5573.0245199076626</v>
      </c>
      <c r="E94" s="453">
        <f>E27*Capex_by_Purpose!E$16+T1_Allowance!E57*Thousands+L94+E80</f>
        <v>5143.9887724982646</v>
      </c>
      <c r="F94" s="453">
        <f>F27*Capex_by_Purpose!F$16+T1_Allowance!F57*Thousands+M94+F80</f>
        <v>5700.6779705788476</v>
      </c>
      <c r="G94" s="453">
        <f>G27*Capex_by_Purpose!G$16+T1_Allowance!G57*Thousands+N94+G80</f>
        <v>5390.4555864031972</v>
      </c>
      <c r="H94" s="460">
        <f>SUM(C94:G94)</f>
        <v>26682.620050610443</v>
      </c>
      <c r="J94" s="27">
        <v>0</v>
      </c>
      <c r="K94" s="27">
        <v>0</v>
      </c>
      <c r="L94" s="27">
        <v>112.85202614892079</v>
      </c>
      <c r="M94" s="27">
        <v>519.14894651069471</v>
      </c>
      <c r="N94" s="27">
        <v>169.6423962207256</v>
      </c>
    </row>
    <row r="95" spans="2:14" x14ac:dyDescent="0.25">
      <c r="B95" t="s">
        <v>19</v>
      </c>
      <c r="C95" s="453">
        <f>C28*Capex_by_Purpose!C$16+T1_Allowance!C58*Thousands+J95+C81</f>
        <v>26341.525582325365</v>
      </c>
      <c r="D95" s="453">
        <f>D28*Capex_by_Purpose!D$16+T1_Allowance!D58*Thousands+K95+D81</f>
        <v>27993.18376640007</v>
      </c>
      <c r="E95" s="453">
        <f>E28*Capex_by_Purpose!E$16+T1_Allowance!E58*Thousands+L95+E81</f>
        <v>27905.49421897564</v>
      </c>
      <c r="F95" s="453">
        <f>F28*Capex_by_Purpose!F$16+T1_Allowance!F58*Thousands+M95+F81</f>
        <v>27300.498170479168</v>
      </c>
      <c r="G95" s="453">
        <f>G28*Capex_by_Purpose!G$16+T1_Allowance!G58*Thousands+N95+G81</f>
        <v>28016.50639022105</v>
      </c>
      <c r="H95" s="460">
        <f>SUM(C95:G95)</f>
        <v>137557.20812840128</v>
      </c>
      <c r="J95" s="27">
        <v>0</v>
      </c>
      <c r="K95" s="27">
        <v>0</v>
      </c>
      <c r="L95" s="27">
        <v>233.90507768660811</v>
      </c>
      <c r="M95" s="27">
        <v>779.67522912322204</v>
      </c>
      <c r="N95" s="27">
        <v>774.66348667747388</v>
      </c>
    </row>
    <row r="96" spans="2:14" x14ac:dyDescent="0.25">
      <c r="B96" t="s">
        <v>22</v>
      </c>
      <c r="C96" s="461">
        <f>C29*Capex_by_Purpose!C$16+T1_Allowance!C61*Thousands+J96+C82</f>
        <v>808.50985616383275</v>
      </c>
      <c r="D96" s="461">
        <f>D29*Capex_by_Purpose!D$16+T1_Allowance!D61*Thousands+K96+D82</f>
        <v>1027.8613773470838</v>
      </c>
      <c r="E96" s="461">
        <f>E29*Capex_by_Purpose!E$16+T1_Allowance!E61*Thousands+L96+E82</f>
        <v>738.82861054111618</v>
      </c>
      <c r="F96" s="461">
        <f>F29*Capex_by_Purpose!F$16+T1_Allowance!F61*Thousands+M96+F82</f>
        <v>1131.0956497786071</v>
      </c>
      <c r="G96" s="461">
        <f>G29*Capex_by_Purpose!G$16+T1_Allowance!G61*Thousands+N96+G82</f>
        <v>774.92060097641092</v>
      </c>
      <c r="H96" s="459">
        <f>SUM(C96:G96)</f>
        <v>4481.2160948070514</v>
      </c>
      <c r="J96" s="29">
        <v>0</v>
      </c>
      <c r="K96" s="29">
        <v>0</v>
      </c>
      <c r="L96" s="29">
        <v>84.621559698704061</v>
      </c>
      <c r="M96" s="29">
        <v>575.55614237461668</v>
      </c>
      <c r="N96" s="29">
        <v>169.19761511103857</v>
      </c>
    </row>
    <row r="97" spans="2:14" x14ac:dyDescent="0.25">
      <c r="B97" s="130" t="s">
        <v>208</v>
      </c>
      <c r="C97" s="27">
        <f t="shared" ref="C97:H97" si="16">SUM(C94:C96)</f>
        <v>32024.508639711672</v>
      </c>
      <c r="D97" s="27">
        <f t="shared" si="16"/>
        <v>34594.069663654816</v>
      </c>
      <c r="E97" s="27">
        <f t="shared" si="16"/>
        <v>33788.311602015019</v>
      </c>
      <c r="F97" s="27">
        <f t="shared" si="16"/>
        <v>34132.271790836625</v>
      </c>
      <c r="G97" s="27">
        <f t="shared" si="16"/>
        <v>34181.882577600656</v>
      </c>
      <c r="H97" s="27">
        <f t="shared" si="16"/>
        <v>168721.04427381878</v>
      </c>
      <c r="J97" s="28">
        <f>SUM(J94:J96)</f>
        <v>0</v>
      </c>
      <c r="K97" s="28">
        <f>SUM(K94:K96)</f>
        <v>0</v>
      </c>
      <c r="L97" s="28">
        <f>SUM(L94:L96)</f>
        <v>431.37866353423294</v>
      </c>
      <c r="M97" s="28">
        <f>SUM(M94:M96)</f>
        <v>1874.3803180085333</v>
      </c>
      <c r="N97" s="28">
        <f>SUM(N94:N96)</f>
        <v>1113.503498009238</v>
      </c>
    </row>
    <row r="98" spans="2:14" ht="7.15" customHeight="1" x14ac:dyDescent="0.25"/>
    <row r="99" spans="2:14" x14ac:dyDescent="0.25">
      <c r="B99" t="s">
        <v>164</v>
      </c>
      <c r="C99" s="27">
        <f>C21*Capex_by_Purpose!C$16</f>
        <v>1418.8714887441311</v>
      </c>
      <c r="D99" s="27">
        <f>D21*Capex_by_Purpose!D$16</f>
        <v>1618.3235868296408</v>
      </c>
      <c r="E99" s="27">
        <f>E21*Capex_by_Purpose!E$16</f>
        <v>1598.0621711134525</v>
      </c>
      <c r="F99" s="27">
        <f>F21*Capex_by_Purpose!F$16</f>
        <v>1827.0700273558753</v>
      </c>
      <c r="G99" s="27">
        <f>G21*Capex_by_Purpose!G$16</f>
        <v>1500.3420527744315</v>
      </c>
      <c r="H99" s="28">
        <f>SUM(C99:G99)</f>
        <v>7962.6693268175313</v>
      </c>
    </row>
    <row r="100" spans="2:14" ht="6.6" customHeight="1" x14ac:dyDescent="0.25"/>
    <row r="101" spans="2:14" x14ac:dyDescent="0.25">
      <c r="B101" s="25" t="s">
        <v>168</v>
      </c>
      <c r="C101" s="28">
        <f t="shared" ref="C101:H101" si="17">C97+C99</f>
        <v>33443.380128455799</v>
      </c>
      <c r="D101" s="28">
        <f t="shared" si="17"/>
        <v>36212.393250484456</v>
      </c>
      <c r="E101" s="28">
        <f t="shared" si="17"/>
        <v>35386.373773128471</v>
      </c>
      <c r="F101" s="28">
        <f t="shared" si="17"/>
        <v>35959.341818192501</v>
      </c>
      <c r="G101" s="28">
        <f t="shared" si="17"/>
        <v>35682.224630375087</v>
      </c>
      <c r="H101" s="28">
        <f t="shared" si="17"/>
        <v>176683.71360063631</v>
      </c>
    </row>
    <row r="102" spans="2:14" x14ac:dyDescent="0.25">
      <c r="B102" s="41" t="s">
        <v>72</v>
      </c>
      <c r="C102" s="183">
        <f t="shared" ref="C102:H102" si="18">C101-C90</f>
        <v>0</v>
      </c>
      <c r="D102" s="183">
        <f t="shared" si="18"/>
        <v>0</v>
      </c>
      <c r="E102" s="183">
        <f t="shared" si="18"/>
        <v>0</v>
      </c>
      <c r="F102" s="183">
        <f t="shared" si="18"/>
        <v>0</v>
      </c>
      <c r="G102" s="183">
        <f t="shared" si="18"/>
        <v>0</v>
      </c>
      <c r="H102" s="183">
        <f t="shared" si="18"/>
        <v>0</v>
      </c>
    </row>
  </sheetData>
  <pageMargins left="0.7" right="0.7" top="0.75" bottom="0.75" header="0.3" footer="0.3"/>
  <pageSetup paperSize="9" orientation="portrait" verticalDpi="0" r:id="rId1"/>
  <ignoredErrors>
    <ignoredError sqref="C37:G37 C30:G30 C22:G2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AF87"/>
  <sheetViews>
    <sheetView zoomScale="85" zoomScaleNormal="85" workbookViewId="0">
      <selection activeCell="B32" sqref="B32"/>
    </sheetView>
  </sheetViews>
  <sheetFormatPr defaultRowHeight="15" x14ac:dyDescent="0.25"/>
  <cols>
    <col min="1" max="1" width="3.85546875" customWidth="1"/>
    <col min="2" max="2" width="52.5703125" customWidth="1"/>
    <col min="3" max="7" width="10.5703125" customWidth="1"/>
    <col min="8" max="8" width="12.28515625" customWidth="1"/>
    <col min="9" max="9" width="4.7109375" customWidth="1"/>
    <col min="10" max="10" width="43.5703125" customWidth="1"/>
    <col min="11" max="15" width="8.5703125" customWidth="1"/>
    <col min="16" max="16" width="10.140625" customWidth="1"/>
    <col min="17" max="17" width="6.28515625" customWidth="1"/>
    <col min="18" max="18" width="37.140625" customWidth="1"/>
    <col min="19" max="23" width="7.7109375" customWidth="1"/>
    <col min="25" max="25" width="11.85546875" customWidth="1"/>
    <col min="26" max="26" width="36.7109375" bestFit="1" customWidth="1"/>
    <col min="27" max="27" width="9.28515625" bestFit="1" customWidth="1"/>
    <col min="28" max="30" width="10.5703125" bestFit="1" customWidth="1"/>
  </cols>
  <sheetData>
    <row r="2" spans="2:11" ht="16.5" thickBot="1" x14ac:dyDescent="0.3">
      <c r="B2" s="123" t="s">
        <v>90</v>
      </c>
    </row>
    <row r="3" spans="2:11" ht="20.25" thickTop="1" thickBot="1" x14ac:dyDescent="0.3">
      <c r="B3" s="113" t="s">
        <v>82</v>
      </c>
      <c r="C3" s="77"/>
      <c r="D3" s="77"/>
      <c r="E3" s="77"/>
      <c r="F3" s="77"/>
      <c r="G3" s="78"/>
      <c r="H3" s="79"/>
    </row>
    <row r="4" spans="2:11" ht="16.5" thickTop="1" thickBot="1" x14ac:dyDescent="0.3">
      <c r="B4" s="80"/>
      <c r="C4" s="81">
        <v>2016</v>
      </c>
      <c r="D4" s="82">
        <v>2017</v>
      </c>
      <c r="E4" s="82">
        <v>2018</v>
      </c>
      <c r="F4" s="82">
        <v>2019</v>
      </c>
      <c r="G4" s="83">
        <v>2020</v>
      </c>
      <c r="H4" s="84" t="s">
        <v>6</v>
      </c>
    </row>
    <row r="5" spans="2:11" ht="15.75" thickTop="1" x14ac:dyDescent="0.25">
      <c r="B5" s="85" t="s">
        <v>42</v>
      </c>
      <c r="C5" s="86">
        <v>63602.594075120265</v>
      </c>
      <c r="D5" s="87">
        <v>75366.165855881263</v>
      </c>
      <c r="E5" s="87">
        <v>60946.862572379279</v>
      </c>
      <c r="F5" s="87">
        <v>54732.205997934514</v>
      </c>
      <c r="G5" s="88">
        <v>51521.247152604483</v>
      </c>
      <c r="H5" s="89">
        <v>306169.07565391983</v>
      </c>
    </row>
    <row r="6" spans="2:11" x14ac:dyDescent="0.25">
      <c r="B6" s="85" t="s">
        <v>43</v>
      </c>
      <c r="C6" s="90">
        <v>80744.800905805372</v>
      </c>
      <c r="D6" s="91">
        <v>80123.765424172525</v>
      </c>
      <c r="E6" s="91">
        <v>83068.262507280146</v>
      </c>
      <c r="F6" s="91">
        <v>79381.956610380032</v>
      </c>
      <c r="G6" s="92">
        <v>79707.119962638739</v>
      </c>
      <c r="H6" s="93">
        <v>403025.90541027684</v>
      </c>
    </row>
    <row r="7" spans="2:11" x14ac:dyDescent="0.25">
      <c r="B7" s="85" t="s">
        <v>44</v>
      </c>
      <c r="C7" s="90">
        <v>134186.98492574264</v>
      </c>
      <c r="D7" s="91">
        <v>140727.93017436654</v>
      </c>
      <c r="E7" s="91">
        <v>140982.56241319855</v>
      </c>
      <c r="F7" s="91">
        <v>144520.00142452607</v>
      </c>
      <c r="G7" s="92">
        <v>137922.29158556723</v>
      </c>
      <c r="H7" s="93">
        <v>698339.77052340098</v>
      </c>
    </row>
    <row r="8" spans="2:11" x14ac:dyDescent="0.25">
      <c r="B8" s="85" t="s">
        <v>83</v>
      </c>
      <c r="C8" s="90">
        <v>44629.566179419366</v>
      </c>
      <c r="D8" s="91">
        <v>58708.750883479021</v>
      </c>
      <c r="E8" s="91">
        <v>40539.988076674279</v>
      </c>
      <c r="F8" s="91">
        <v>47064.766487802226</v>
      </c>
      <c r="G8" s="92">
        <v>39667.141822912286</v>
      </c>
      <c r="H8" s="93">
        <v>230610.21345028721</v>
      </c>
    </row>
    <row r="9" spans="2:11" x14ac:dyDescent="0.25">
      <c r="B9" s="94" t="s">
        <v>84</v>
      </c>
      <c r="C9" s="90">
        <v>33355.271924820139</v>
      </c>
      <c r="D9" s="91">
        <v>35068.678275377933</v>
      </c>
      <c r="E9" s="91">
        <v>34163.483493566921</v>
      </c>
      <c r="F9" s="91">
        <v>34113.021694948598</v>
      </c>
      <c r="G9" s="92">
        <v>34084.934986577304</v>
      </c>
      <c r="H9" s="93">
        <v>170785.39037529091</v>
      </c>
    </row>
    <row r="10" spans="2:11" ht="15.75" thickBot="1" x14ac:dyDescent="0.3">
      <c r="B10" s="85" t="s">
        <v>85</v>
      </c>
      <c r="C10" s="95">
        <v>-1003.5087719297934</v>
      </c>
      <c r="D10" s="96">
        <v>-2430.6232367273556</v>
      </c>
      <c r="E10" s="96">
        <v>-2627.1604938271712</v>
      </c>
      <c r="F10" s="96">
        <v>-3003.6236119228415</v>
      </c>
      <c r="G10" s="97">
        <v>-3045.5373406192657</v>
      </c>
      <c r="H10" s="98">
        <v>-12110.453455026429</v>
      </c>
      <c r="J10" s="114"/>
      <c r="K10" s="35"/>
    </row>
    <row r="11" spans="2:11" ht="15.75" thickTop="1" x14ac:dyDescent="0.25">
      <c r="B11" s="99" t="s">
        <v>86</v>
      </c>
      <c r="C11" s="100">
        <v>355515.70923897799</v>
      </c>
      <c r="D11" s="101">
        <v>387564.66737654997</v>
      </c>
      <c r="E11" s="101">
        <v>357073.99856927199</v>
      </c>
      <c r="F11" s="101">
        <v>356808.3286036686</v>
      </c>
      <c r="G11" s="102">
        <v>339857.19816968078</v>
      </c>
      <c r="H11" s="103">
        <v>1796819.9019581494</v>
      </c>
    </row>
    <row r="12" spans="2:11" ht="15.75" thickBot="1" x14ac:dyDescent="0.3">
      <c r="B12" s="104" t="s">
        <v>87</v>
      </c>
      <c r="C12" s="105">
        <v>39336.106443631594</v>
      </c>
      <c r="D12" s="106">
        <v>38956.561621772482</v>
      </c>
      <c r="E12" s="106">
        <v>40520.062107075064</v>
      </c>
      <c r="F12" s="106">
        <v>38661.075317990333</v>
      </c>
      <c r="G12" s="107">
        <v>38927.886809860618</v>
      </c>
      <c r="H12" s="98">
        <v>196401.69230033009</v>
      </c>
    </row>
    <row r="13" spans="2:11" ht="16.5" thickTop="1" thickBot="1" x14ac:dyDescent="0.3">
      <c r="B13" s="108" t="s">
        <v>88</v>
      </c>
      <c r="C13" s="109">
        <v>316179.60279534641</v>
      </c>
      <c r="D13" s="110">
        <v>348608.1057547775</v>
      </c>
      <c r="E13" s="110">
        <v>316553.93646219693</v>
      </c>
      <c r="F13" s="110">
        <v>318147.25328567828</v>
      </c>
      <c r="G13" s="111">
        <v>300929.31135982019</v>
      </c>
      <c r="H13" s="112">
        <v>1600418.2096578195</v>
      </c>
    </row>
    <row r="14" spans="2:11" ht="15.75" thickTop="1" x14ac:dyDescent="0.25">
      <c r="B14" s="41" t="s">
        <v>73</v>
      </c>
    </row>
    <row r="15" spans="2:11" x14ac:dyDescent="0.25">
      <c r="C15" s="535">
        <v>2016</v>
      </c>
      <c r="D15" s="535">
        <v>2017</v>
      </c>
      <c r="E15" s="535">
        <v>2018</v>
      </c>
      <c r="F15" s="535">
        <v>2019</v>
      </c>
      <c r="G15" s="535">
        <v>2020</v>
      </c>
    </row>
    <row r="16" spans="2:11" x14ac:dyDescent="0.25">
      <c r="B16" t="s">
        <v>558</v>
      </c>
      <c r="C16" s="536">
        <v>0.9971852603696133</v>
      </c>
      <c r="D16" s="536">
        <v>0.99376755746741163</v>
      </c>
      <c r="E16" s="536">
        <v>0.99269626903435604</v>
      </c>
      <c r="F16" s="536">
        <v>0.9916522405844842</v>
      </c>
      <c r="G16" s="536">
        <v>0.99111836382382024</v>
      </c>
    </row>
    <row r="17" spans="2:21" x14ac:dyDescent="0.25">
      <c r="B17" s="41" t="s">
        <v>73</v>
      </c>
      <c r="C17" s="140"/>
      <c r="D17" s="140"/>
      <c r="E17" s="140"/>
      <c r="F17" s="140"/>
      <c r="G17" s="140"/>
    </row>
    <row r="19" spans="2:21" ht="21.6" customHeight="1" x14ac:dyDescent="0.25">
      <c r="B19" s="125" t="s">
        <v>82</v>
      </c>
      <c r="C19" s="126"/>
      <c r="D19" s="126"/>
      <c r="E19" s="126"/>
      <c r="F19" s="126"/>
      <c r="G19" s="126"/>
      <c r="H19" s="126"/>
    </row>
    <row r="20" spans="2:21" x14ac:dyDescent="0.25">
      <c r="B20" s="53" t="s">
        <v>96</v>
      </c>
      <c r="C20" s="4">
        <v>2016</v>
      </c>
      <c r="D20" s="4">
        <v>2017</v>
      </c>
      <c r="E20" s="4">
        <v>2018</v>
      </c>
      <c r="F20" s="4">
        <v>2019</v>
      </c>
      <c r="G20" s="4">
        <v>2020</v>
      </c>
      <c r="H20" s="4" t="s">
        <v>6</v>
      </c>
    </row>
    <row r="21" spans="2:21" x14ac:dyDescent="0.25">
      <c r="B21" t="s">
        <v>42</v>
      </c>
      <c r="C21" s="27">
        <f t="shared" ref="C21:G25" si="0">C5*C$16</f>
        <v>63423.569332981628</v>
      </c>
      <c r="D21" s="27">
        <f t="shared" si="0"/>
        <v>74896.450558282959</v>
      </c>
      <c r="E21" s="27">
        <f t="shared" si="0"/>
        <v>60501.723084950543</v>
      </c>
      <c r="F21" s="27">
        <f t="shared" si="0"/>
        <v>54275.314709983308</v>
      </c>
      <c r="G21" s="27">
        <f t="shared" si="0"/>
        <v>51063.654180052014</v>
      </c>
      <c r="H21" s="28">
        <f t="shared" ref="H21:H26" si="1">SUM(C21:G21)</f>
        <v>304160.71186625044</v>
      </c>
    </row>
    <row r="22" spans="2:21" x14ac:dyDescent="0.25">
      <c r="B22" t="s">
        <v>43</v>
      </c>
      <c r="C22" s="27">
        <f t="shared" si="0"/>
        <v>80517.525314748113</v>
      </c>
      <c r="D22" s="27">
        <f t="shared" si="0"/>
        <v>79624.398660671781</v>
      </c>
      <c r="E22" s="27">
        <f t="shared" si="0"/>
        <v>82461.554266143488</v>
      </c>
      <c r="F22" s="27">
        <f t="shared" si="0"/>
        <v>78719.295134663669</v>
      </c>
      <c r="G22" s="27">
        <f t="shared" si="0"/>
        <v>78999.190322479466</v>
      </c>
      <c r="H22" s="28">
        <f t="shared" si="1"/>
        <v>400321.96369870647</v>
      </c>
    </row>
    <row r="23" spans="2:21" x14ac:dyDescent="0.25">
      <c r="B23" t="s">
        <v>44</v>
      </c>
      <c r="C23" s="27">
        <f t="shared" si="0"/>
        <v>133809.28350139005</v>
      </c>
      <c r="D23" s="27">
        <f t="shared" si="0"/>
        <v>139850.85143682468</v>
      </c>
      <c r="E23" s="27">
        <f t="shared" si="0"/>
        <v>139952.86370648546</v>
      </c>
      <c r="F23" s="27">
        <f t="shared" si="0"/>
        <v>143313.58322190412</v>
      </c>
      <c r="G23" s="27">
        <f t="shared" si="0"/>
        <v>136697.31597111924</v>
      </c>
      <c r="H23" s="28">
        <f t="shared" si="1"/>
        <v>693623.89783772349</v>
      </c>
    </row>
    <row r="24" spans="2:21" x14ac:dyDescent="0.25">
      <c r="B24" t="s">
        <v>83</v>
      </c>
      <c r="C24" s="27">
        <f t="shared" si="0"/>
        <v>44503.945570807191</v>
      </c>
      <c r="D24" s="27">
        <f t="shared" si="0"/>
        <v>58342.851967437688</v>
      </c>
      <c r="E24" s="27">
        <f t="shared" si="0"/>
        <v>40243.894910411836</v>
      </c>
      <c r="F24" s="27">
        <f t="shared" si="0"/>
        <v>46671.881140214624</v>
      </c>
      <c r="G24" s="27">
        <f t="shared" si="0"/>
        <v>39314.832701092259</v>
      </c>
      <c r="H24" s="28">
        <f t="shared" si="1"/>
        <v>229077.4062899636</v>
      </c>
    </row>
    <row r="25" spans="2:21" x14ac:dyDescent="0.25">
      <c r="B25" t="s">
        <v>84</v>
      </c>
      <c r="C25" s="27">
        <f t="shared" si="0"/>
        <v>33261.385519051022</v>
      </c>
      <c r="D25" s="27">
        <f t="shared" si="0"/>
        <v>34850.114753332811</v>
      </c>
      <c r="E25" s="27">
        <f t="shared" si="0"/>
        <v>33913.962601280691</v>
      </c>
      <c r="F25" s="27">
        <f t="shared" si="0"/>
        <v>33828.254396902899</v>
      </c>
      <c r="G25" s="27">
        <f t="shared" si="0"/>
        <v>33782.204994937783</v>
      </c>
      <c r="H25" s="28">
        <f t="shared" si="1"/>
        <v>169635.92226550519</v>
      </c>
    </row>
    <row r="26" spans="2:21" x14ac:dyDescent="0.25">
      <c r="B26" t="s">
        <v>85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8">
        <f t="shared" si="1"/>
        <v>0</v>
      </c>
    </row>
    <row r="27" spans="2:21" x14ac:dyDescent="0.25">
      <c r="B27" s="25" t="s">
        <v>86</v>
      </c>
      <c r="C27" s="115">
        <f t="shared" ref="C27:H27" si="2">SUM(C21:C26)</f>
        <v>355515.70923897799</v>
      </c>
      <c r="D27" s="115">
        <f t="shared" si="2"/>
        <v>387564.66737654991</v>
      </c>
      <c r="E27" s="115">
        <f t="shared" si="2"/>
        <v>357073.99856927205</v>
      </c>
      <c r="F27" s="115">
        <f t="shared" si="2"/>
        <v>356808.32860366866</v>
      </c>
      <c r="G27" s="115">
        <f t="shared" si="2"/>
        <v>339857.19816968078</v>
      </c>
      <c r="H27" s="36">
        <f t="shared" si="2"/>
        <v>1796819.9019581492</v>
      </c>
    </row>
    <row r="28" spans="2:21" x14ac:dyDescent="0.25">
      <c r="B28" t="s">
        <v>87</v>
      </c>
      <c r="C28" s="114">
        <f>C12</f>
        <v>39336.106443631594</v>
      </c>
      <c r="D28" s="114">
        <f>D12</f>
        <v>38956.561621772482</v>
      </c>
      <c r="E28" s="114">
        <f>E12</f>
        <v>40520.062107075064</v>
      </c>
      <c r="F28" s="114">
        <f>F12</f>
        <v>38661.075317990333</v>
      </c>
      <c r="G28" s="114">
        <f>G12</f>
        <v>38927.886809860618</v>
      </c>
      <c r="H28" s="28">
        <f>SUM(C28:G28)</f>
        <v>196401.69230033009</v>
      </c>
    </row>
    <row r="29" spans="2:21" ht="15.75" thickBot="1" x14ac:dyDescent="0.3">
      <c r="B29" s="25" t="s">
        <v>88</v>
      </c>
      <c r="C29" s="116">
        <f t="shared" ref="C29:H29" si="3">C27-C28</f>
        <v>316179.60279534641</v>
      </c>
      <c r="D29" s="116">
        <f t="shared" si="3"/>
        <v>348608.10575477744</v>
      </c>
      <c r="E29" s="116">
        <f t="shared" si="3"/>
        <v>316553.93646219699</v>
      </c>
      <c r="F29" s="116">
        <f t="shared" si="3"/>
        <v>318147.25328567834</v>
      </c>
      <c r="G29" s="116">
        <f t="shared" si="3"/>
        <v>300929.31135982019</v>
      </c>
      <c r="H29" s="116">
        <f t="shared" si="3"/>
        <v>1600418.209657819</v>
      </c>
    </row>
    <row r="30" spans="2:21" x14ac:dyDescent="0.25">
      <c r="B30" s="199" t="s">
        <v>72</v>
      </c>
      <c r="C30" s="183">
        <f t="shared" ref="C30:H30" si="4">C29-C13</f>
        <v>0</v>
      </c>
      <c r="D30" s="183">
        <f t="shared" si="4"/>
        <v>0</v>
      </c>
      <c r="E30" s="183">
        <f t="shared" si="4"/>
        <v>0</v>
      </c>
      <c r="F30" s="183">
        <f t="shared" si="4"/>
        <v>0</v>
      </c>
      <c r="G30" s="183">
        <f t="shared" si="4"/>
        <v>0</v>
      </c>
      <c r="H30" s="183">
        <f t="shared" si="4"/>
        <v>0</v>
      </c>
      <c r="T30" s="28"/>
      <c r="U30" s="28"/>
    </row>
    <row r="31" spans="2:21" x14ac:dyDescent="0.25">
      <c r="B31" s="25" t="s">
        <v>123</v>
      </c>
      <c r="C31" s="28">
        <f t="shared" ref="C31:H31" si="5">C27-C25</f>
        <v>322254.32371992699</v>
      </c>
      <c r="D31" s="28">
        <f t="shared" si="5"/>
        <v>352714.55262321711</v>
      </c>
      <c r="E31" s="28">
        <f t="shared" si="5"/>
        <v>323160.03596799134</v>
      </c>
      <c r="F31" s="28">
        <f t="shared" si="5"/>
        <v>322980.07420676574</v>
      </c>
      <c r="G31" s="28">
        <f t="shared" si="5"/>
        <v>306074.99317474302</v>
      </c>
      <c r="H31" s="28">
        <f t="shared" si="5"/>
        <v>1627183.979692644</v>
      </c>
    </row>
    <row r="32" spans="2:21" x14ac:dyDescent="0.25">
      <c r="B32" s="25"/>
      <c r="C32" s="27"/>
      <c r="D32" s="27"/>
      <c r="E32" s="27"/>
      <c r="F32" s="27"/>
      <c r="G32" s="27"/>
      <c r="H32" s="27"/>
      <c r="T32" s="5"/>
      <c r="U32" s="5"/>
    </row>
    <row r="33" spans="2:32" x14ac:dyDescent="0.25">
      <c r="B33" s="458" t="s">
        <v>649</v>
      </c>
      <c r="C33" s="453"/>
      <c r="D33" s="453"/>
      <c r="E33" s="453"/>
      <c r="F33" s="453"/>
      <c r="G33" s="453"/>
      <c r="H33" s="453"/>
      <c r="J33" s="613" t="s">
        <v>561</v>
      </c>
      <c r="K33" s="614"/>
      <c r="L33" s="614"/>
      <c r="M33" s="614"/>
      <c r="N33" s="614"/>
      <c r="O33" s="614"/>
      <c r="P33" s="614"/>
      <c r="R33" s="613" t="s">
        <v>562</v>
      </c>
      <c r="S33" s="614"/>
      <c r="T33" s="614"/>
      <c r="U33" s="614"/>
      <c r="V33" s="614"/>
      <c r="W33" s="614"/>
      <c r="X33" s="614"/>
      <c r="Z33" s="25" t="s">
        <v>713</v>
      </c>
    </row>
    <row r="34" spans="2:32" x14ac:dyDescent="0.25">
      <c r="B34" s="464" t="s">
        <v>92</v>
      </c>
      <c r="C34" s="452">
        <v>2016</v>
      </c>
      <c r="D34" s="452">
        <v>2017</v>
      </c>
      <c r="E34" s="452">
        <v>2018</v>
      </c>
      <c r="F34" s="452">
        <v>2019</v>
      </c>
      <c r="G34" s="452">
        <v>2020</v>
      </c>
      <c r="H34" s="452" t="s">
        <v>6</v>
      </c>
      <c r="J34" s="606" t="s">
        <v>92</v>
      </c>
      <c r="K34" s="615">
        <v>2016</v>
      </c>
      <c r="L34" s="615">
        <v>2017</v>
      </c>
      <c r="M34" s="615">
        <v>2018</v>
      </c>
      <c r="N34" s="615">
        <v>2019</v>
      </c>
      <c r="O34" s="615">
        <v>2020</v>
      </c>
      <c r="P34" s="615" t="s">
        <v>6</v>
      </c>
      <c r="R34" s="620" t="s">
        <v>553</v>
      </c>
      <c r="S34" s="615">
        <v>2016</v>
      </c>
      <c r="T34" s="615">
        <v>2017</v>
      </c>
      <c r="U34" s="615">
        <v>2018</v>
      </c>
      <c r="V34" s="615">
        <v>2019</v>
      </c>
      <c r="W34" s="615">
        <v>2020</v>
      </c>
      <c r="X34" s="615" t="s">
        <v>6</v>
      </c>
      <c r="Z34" s="620" t="s">
        <v>553</v>
      </c>
      <c r="AA34" s="704">
        <v>2016</v>
      </c>
      <c r="AB34" s="704">
        <v>2017</v>
      </c>
      <c r="AC34" s="704">
        <v>2018</v>
      </c>
      <c r="AD34" s="704">
        <v>2019</v>
      </c>
      <c r="AE34" s="704">
        <v>2020</v>
      </c>
      <c r="AF34" s="704" t="s">
        <v>6</v>
      </c>
    </row>
    <row r="35" spans="2:32" x14ac:dyDescent="0.25">
      <c r="B35" s="451" t="s">
        <v>42</v>
      </c>
      <c r="C35" s="453">
        <f t="shared" ref="C35:G39" si="6">K35+S35+AA35</f>
        <v>4904.0956076109269</v>
      </c>
      <c r="D35" s="453">
        <f t="shared" si="6"/>
        <v>41361.900174121554</v>
      </c>
      <c r="E35" s="453">
        <f t="shared" si="6"/>
        <v>35274.696695897022</v>
      </c>
      <c r="F35" s="453">
        <f t="shared" si="6"/>
        <v>49260.650117236743</v>
      </c>
      <c r="G35" s="453">
        <f t="shared" si="6"/>
        <v>18802.358644461281</v>
      </c>
      <c r="H35" s="460">
        <f t="shared" ref="H35:H40" si="7">SUM(C35:G35)</f>
        <v>149603.70123932752</v>
      </c>
      <c r="J35" s="445" t="s">
        <v>42</v>
      </c>
      <c r="K35" s="614">
        <v>4904.0956076109269</v>
      </c>
      <c r="L35" s="614">
        <v>47044.37446734788</v>
      </c>
      <c r="M35" s="614">
        <v>24631.422993221186</v>
      </c>
      <c r="N35" s="614">
        <v>115.57230699341409</v>
      </c>
      <c r="O35" s="614">
        <v>0</v>
      </c>
      <c r="P35" s="616">
        <f t="shared" ref="P35:P40" si="8">SUM(K35:O35)</f>
        <v>76695.465375173415</v>
      </c>
      <c r="R35" s="445" t="s">
        <v>42</v>
      </c>
      <c r="S35" s="614">
        <v>0</v>
      </c>
      <c r="T35" s="614">
        <v>-5682.4742932263252</v>
      </c>
      <c r="U35" s="614">
        <v>-1004.6473971019582</v>
      </c>
      <c r="V35" s="614">
        <v>0</v>
      </c>
      <c r="W35" s="614">
        <v>0</v>
      </c>
      <c r="X35" s="616">
        <f t="shared" ref="X35:X40" si="9">SUM(S35:W35)</f>
        <v>-6687.1216903282839</v>
      </c>
      <c r="Z35" s="445" t="s">
        <v>42</v>
      </c>
      <c r="AA35" s="27">
        <v>0</v>
      </c>
      <c r="AB35" s="27">
        <v>0</v>
      </c>
      <c r="AC35" s="27">
        <v>11647.921099777794</v>
      </c>
      <c r="AD35" s="27">
        <v>49145.077810243325</v>
      </c>
      <c r="AE35" s="27">
        <v>18802.358644461281</v>
      </c>
      <c r="AF35" s="28">
        <f>SUM(AA35:AE35)</f>
        <v>79595.357554482398</v>
      </c>
    </row>
    <row r="36" spans="2:32" x14ac:dyDescent="0.25">
      <c r="B36" s="451" t="s">
        <v>43</v>
      </c>
      <c r="C36" s="453">
        <f t="shared" si="6"/>
        <v>0</v>
      </c>
      <c r="D36" s="453">
        <f t="shared" si="6"/>
        <v>0</v>
      </c>
      <c r="E36" s="453">
        <f t="shared" si="6"/>
        <v>0</v>
      </c>
      <c r="F36" s="453">
        <f t="shared" si="6"/>
        <v>0</v>
      </c>
      <c r="G36" s="453">
        <f t="shared" si="6"/>
        <v>0</v>
      </c>
      <c r="H36" s="460">
        <f t="shared" si="7"/>
        <v>0</v>
      </c>
      <c r="J36" s="445" t="s">
        <v>43</v>
      </c>
      <c r="K36" s="614">
        <v>0</v>
      </c>
      <c r="L36" s="614">
        <v>0</v>
      </c>
      <c r="M36" s="614">
        <v>0</v>
      </c>
      <c r="N36" s="614">
        <v>0</v>
      </c>
      <c r="O36" s="614">
        <v>0</v>
      </c>
      <c r="P36" s="616">
        <f t="shared" si="8"/>
        <v>0</v>
      </c>
      <c r="R36" s="445" t="s">
        <v>43</v>
      </c>
      <c r="S36" s="614">
        <v>0</v>
      </c>
      <c r="T36" s="614">
        <v>0</v>
      </c>
      <c r="U36" s="614">
        <v>0</v>
      </c>
      <c r="V36" s="614">
        <v>0</v>
      </c>
      <c r="W36" s="614">
        <v>0</v>
      </c>
      <c r="X36" s="616">
        <f t="shared" si="9"/>
        <v>0</v>
      </c>
      <c r="Z36" s="445" t="s">
        <v>43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8">
        <f>SUM(AA36:AE36)</f>
        <v>0</v>
      </c>
    </row>
    <row r="37" spans="2:32" x14ac:dyDescent="0.25">
      <c r="B37" s="451" t="s">
        <v>44</v>
      </c>
      <c r="C37" s="453">
        <f t="shared" si="6"/>
        <v>1850.7054654638612</v>
      </c>
      <c r="D37" s="453">
        <f t="shared" si="6"/>
        <v>10176.164713644297</v>
      </c>
      <c r="E37" s="453">
        <f t="shared" si="6"/>
        <v>18534.775066373659</v>
      </c>
      <c r="F37" s="453">
        <f t="shared" si="6"/>
        <v>19150.861382876465</v>
      </c>
      <c r="G37" s="453">
        <f t="shared" si="6"/>
        <v>20535.348964967281</v>
      </c>
      <c r="H37" s="460">
        <f t="shared" si="7"/>
        <v>70247.85559332557</v>
      </c>
      <c r="J37" s="445" t="s">
        <v>44</v>
      </c>
      <c r="K37" s="614">
        <v>1850.7054654638612</v>
      </c>
      <c r="L37" s="614">
        <v>10176.164713644297</v>
      </c>
      <c r="M37" s="614">
        <v>14344.294707227862</v>
      </c>
      <c r="N37" s="614">
        <v>-0.13243003273133225</v>
      </c>
      <c r="O37" s="614">
        <v>0</v>
      </c>
      <c r="P37" s="616">
        <f t="shared" si="8"/>
        <v>26371.032456303288</v>
      </c>
      <c r="R37" s="445" t="s">
        <v>44</v>
      </c>
      <c r="S37" s="614">
        <v>0</v>
      </c>
      <c r="T37" s="614">
        <v>0</v>
      </c>
      <c r="U37" s="614">
        <v>0</v>
      </c>
      <c r="V37" s="614">
        <v>0</v>
      </c>
      <c r="W37" s="614">
        <v>0</v>
      </c>
      <c r="X37" s="616">
        <f t="shared" si="9"/>
        <v>0</v>
      </c>
      <c r="Z37" s="445" t="s">
        <v>44</v>
      </c>
      <c r="AA37" s="27">
        <v>0</v>
      </c>
      <c r="AB37" s="27">
        <v>0</v>
      </c>
      <c r="AC37" s="27">
        <v>4190.4803591457976</v>
      </c>
      <c r="AD37" s="27">
        <v>19150.993812909197</v>
      </c>
      <c r="AE37" s="27">
        <v>20535.348964967281</v>
      </c>
      <c r="AF37" s="28">
        <f>SUM(AA37:AE37)</f>
        <v>43876.823137022278</v>
      </c>
    </row>
    <row r="38" spans="2:32" x14ac:dyDescent="0.25">
      <c r="B38" s="451" t="s">
        <v>83</v>
      </c>
      <c r="C38" s="453">
        <f t="shared" si="6"/>
        <v>0.56042019792399089</v>
      </c>
      <c r="D38" s="453">
        <f t="shared" si="6"/>
        <v>337.44662752416491</v>
      </c>
      <c r="E38" s="453">
        <f t="shared" si="6"/>
        <v>495.53403955854867</v>
      </c>
      <c r="F38" s="453">
        <f t="shared" si="6"/>
        <v>510.75778604651157</v>
      </c>
      <c r="G38" s="453">
        <f t="shared" si="6"/>
        <v>1532.2733581395346</v>
      </c>
      <c r="H38" s="460">
        <f t="shared" si="7"/>
        <v>2876.5722314666837</v>
      </c>
      <c r="J38" s="445" t="s">
        <v>83</v>
      </c>
      <c r="K38" s="614">
        <v>0.56042019792399089</v>
      </c>
      <c r="L38" s="614">
        <v>337.44662752416491</v>
      </c>
      <c r="M38" s="614">
        <v>495.53403955854867</v>
      </c>
      <c r="N38" s="614">
        <v>0</v>
      </c>
      <c r="O38" s="614">
        <v>0</v>
      </c>
      <c r="P38" s="616">
        <f t="shared" si="8"/>
        <v>833.54108728063761</v>
      </c>
      <c r="R38" s="445" t="s">
        <v>83</v>
      </c>
      <c r="S38" s="614">
        <v>0</v>
      </c>
      <c r="T38" s="614">
        <v>0</v>
      </c>
      <c r="U38" s="614">
        <v>0</v>
      </c>
      <c r="V38" s="614">
        <v>0</v>
      </c>
      <c r="W38" s="614">
        <v>0</v>
      </c>
      <c r="X38" s="616">
        <f t="shared" si="9"/>
        <v>0</v>
      </c>
      <c r="Z38" s="445" t="s">
        <v>83</v>
      </c>
      <c r="AA38" s="27">
        <v>0</v>
      </c>
      <c r="AB38" s="27">
        <v>0</v>
      </c>
      <c r="AC38" s="27">
        <v>0</v>
      </c>
      <c r="AD38" s="27">
        <v>510.75778604651157</v>
      </c>
      <c r="AE38" s="27">
        <v>1532.2733581395346</v>
      </c>
      <c r="AF38" s="28">
        <f>SUM(AA38:AE38)</f>
        <v>2043.0311441860463</v>
      </c>
    </row>
    <row r="39" spans="2:32" x14ac:dyDescent="0.25">
      <c r="B39" s="451" t="s">
        <v>84</v>
      </c>
      <c r="C39" s="453">
        <f t="shared" si="6"/>
        <v>181.99473158286929</v>
      </c>
      <c r="D39" s="453">
        <f t="shared" si="6"/>
        <v>1362.2784971516553</v>
      </c>
      <c r="E39" s="453">
        <f t="shared" si="6"/>
        <v>1466.1057858051786</v>
      </c>
      <c r="F39" s="453">
        <f t="shared" si="6"/>
        <v>1877.5485563587918</v>
      </c>
      <c r="G39" s="453">
        <f t="shared" si="6"/>
        <v>1113.503498009238</v>
      </c>
      <c r="H39" s="460">
        <f t="shared" si="7"/>
        <v>6001.4310689077329</v>
      </c>
      <c r="J39" s="445" t="s">
        <v>84</v>
      </c>
      <c r="K39" s="614">
        <v>181.99473158286929</v>
      </c>
      <c r="L39" s="614">
        <v>1524.3958493104246</v>
      </c>
      <c r="M39" s="614">
        <v>1061.478250825174</v>
      </c>
      <c r="N39" s="614">
        <v>3.1682383502583917</v>
      </c>
      <c r="O39" s="614">
        <v>0</v>
      </c>
      <c r="P39" s="616">
        <f t="shared" si="8"/>
        <v>2771.0370700687263</v>
      </c>
      <c r="R39" s="445" t="s">
        <v>84</v>
      </c>
      <c r="S39" s="614">
        <v>0</v>
      </c>
      <c r="T39" s="614">
        <v>-162.11735215876934</v>
      </c>
      <c r="U39" s="614">
        <v>-26.751128554228217</v>
      </c>
      <c r="V39" s="614">
        <v>0</v>
      </c>
      <c r="W39" s="614">
        <v>0</v>
      </c>
      <c r="X39" s="616">
        <f t="shared" si="9"/>
        <v>-188.86848071299755</v>
      </c>
      <c r="Y39" s="35"/>
      <c r="Z39" s="445" t="s">
        <v>84</v>
      </c>
      <c r="AA39" s="27">
        <v>0</v>
      </c>
      <c r="AB39" s="27">
        <v>0</v>
      </c>
      <c r="AC39" s="27">
        <v>431.37866353423294</v>
      </c>
      <c r="AD39" s="27">
        <v>1874.3803180085333</v>
      </c>
      <c r="AE39" s="27">
        <v>1113.503498009238</v>
      </c>
      <c r="AF39" s="28">
        <f>SUM(AA39:AE39)</f>
        <v>3419.2624795520042</v>
      </c>
    </row>
    <row r="40" spans="2:32" x14ac:dyDescent="0.25">
      <c r="B40" s="451" t="s">
        <v>85</v>
      </c>
      <c r="C40" s="453"/>
      <c r="D40" s="453"/>
      <c r="E40" s="453"/>
      <c r="F40" s="453"/>
      <c r="G40" s="453"/>
      <c r="H40" s="460">
        <f t="shared" si="7"/>
        <v>0</v>
      </c>
      <c r="J40" s="445" t="s">
        <v>85</v>
      </c>
      <c r="K40" s="614"/>
      <c r="L40" s="614"/>
      <c r="M40" s="614"/>
      <c r="N40" s="614"/>
      <c r="O40" s="614"/>
      <c r="P40" s="616">
        <f t="shared" si="8"/>
        <v>0</v>
      </c>
      <c r="R40" s="445" t="s">
        <v>85</v>
      </c>
      <c r="S40" s="614"/>
      <c r="T40" s="614"/>
      <c r="U40" s="614"/>
      <c r="V40" s="614"/>
      <c r="W40" s="614"/>
      <c r="X40" s="616">
        <f t="shared" si="9"/>
        <v>0</v>
      </c>
      <c r="Z40" s="445" t="s">
        <v>85</v>
      </c>
    </row>
    <row r="41" spans="2:32" x14ac:dyDescent="0.25">
      <c r="B41" s="458" t="s">
        <v>86</v>
      </c>
      <c r="C41" s="465">
        <f t="shared" ref="C41:H41" si="10">SUM(C35:C40)</f>
        <v>6937.3562248555818</v>
      </c>
      <c r="D41" s="465">
        <f t="shared" si="10"/>
        <v>53237.79001244167</v>
      </c>
      <c r="E41" s="465">
        <f t="shared" si="10"/>
        <v>55771.111587634412</v>
      </c>
      <c r="F41" s="465">
        <f t="shared" si="10"/>
        <v>70799.817842518503</v>
      </c>
      <c r="G41" s="465">
        <f t="shared" si="10"/>
        <v>41983.484465577334</v>
      </c>
      <c r="H41" s="466">
        <f t="shared" si="10"/>
        <v>228729.56013302749</v>
      </c>
      <c r="J41" s="613" t="s">
        <v>86</v>
      </c>
      <c r="K41" s="617">
        <f t="shared" ref="K41:P41" si="11">SUM(K35:K40)</f>
        <v>6937.3562248555818</v>
      </c>
      <c r="L41" s="617">
        <f t="shared" si="11"/>
        <v>59082.381657826765</v>
      </c>
      <c r="M41" s="617">
        <f t="shared" si="11"/>
        <v>40532.729990832777</v>
      </c>
      <c r="N41" s="617">
        <f t="shared" si="11"/>
        <v>118.60811531094114</v>
      </c>
      <c r="O41" s="617">
        <f t="shared" si="11"/>
        <v>0</v>
      </c>
      <c r="P41" s="618">
        <f t="shared" si="11"/>
        <v>106671.07598882607</v>
      </c>
      <c r="R41" s="613" t="s">
        <v>86</v>
      </c>
      <c r="S41" s="617">
        <f t="shared" ref="S41:X41" si="12">SUM(S35:S40)</f>
        <v>0</v>
      </c>
      <c r="T41" s="617">
        <f t="shared" si="12"/>
        <v>-5844.591645385095</v>
      </c>
      <c r="U41" s="617">
        <f t="shared" si="12"/>
        <v>-1031.3985256561864</v>
      </c>
      <c r="V41" s="617">
        <f t="shared" si="12"/>
        <v>0</v>
      </c>
      <c r="W41" s="617">
        <f t="shared" si="12"/>
        <v>0</v>
      </c>
      <c r="X41" s="618">
        <f t="shared" si="12"/>
        <v>-6875.9901710412814</v>
      </c>
      <c r="Z41" s="613" t="s">
        <v>86</v>
      </c>
      <c r="AA41" s="617">
        <f t="shared" ref="AA41:AF41" si="13">SUM(AA35:AA40)</f>
        <v>0</v>
      </c>
      <c r="AB41" s="617">
        <f t="shared" si="13"/>
        <v>0</v>
      </c>
      <c r="AC41" s="617">
        <f t="shared" si="13"/>
        <v>16269.780122457825</v>
      </c>
      <c r="AD41" s="617">
        <f t="shared" si="13"/>
        <v>70681.209727207577</v>
      </c>
      <c r="AE41" s="617">
        <f t="shared" si="13"/>
        <v>41983.484465577334</v>
      </c>
      <c r="AF41" s="618">
        <f t="shared" si="13"/>
        <v>128934.47431524273</v>
      </c>
    </row>
    <row r="42" spans="2:32" x14ac:dyDescent="0.25">
      <c r="B42" s="451" t="s">
        <v>87</v>
      </c>
      <c r="C42" s="453">
        <v>0</v>
      </c>
      <c r="D42" s="453">
        <v>0</v>
      </c>
      <c r="E42" s="453">
        <v>0</v>
      </c>
      <c r="F42" s="453">
        <v>0</v>
      </c>
      <c r="G42" s="453">
        <v>0</v>
      </c>
      <c r="H42" s="460">
        <f>SUM(C42:G42)</f>
        <v>0</v>
      </c>
      <c r="J42" s="445" t="s">
        <v>87</v>
      </c>
      <c r="K42" s="614">
        <v>0</v>
      </c>
      <c r="L42" s="614">
        <v>0</v>
      </c>
      <c r="M42" s="614">
        <v>0</v>
      </c>
      <c r="N42" s="614">
        <v>0</v>
      </c>
      <c r="O42" s="614">
        <v>0</v>
      </c>
      <c r="P42" s="616">
        <f>SUM(K42:O42)</f>
        <v>0</v>
      </c>
      <c r="R42" s="445" t="s">
        <v>87</v>
      </c>
      <c r="S42" s="614">
        <v>0</v>
      </c>
      <c r="T42" s="614">
        <v>0</v>
      </c>
      <c r="U42" s="614">
        <v>0</v>
      </c>
      <c r="V42" s="614">
        <v>0</v>
      </c>
      <c r="W42" s="614">
        <v>0</v>
      </c>
      <c r="X42" s="616">
        <f>SUM(S42:W42)</f>
        <v>0</v>
      </c>
      <c r="Z42" s="445" t="s">
        <v>87</v>
      </c>
      <c r="AA42" s="614">
        <v>0</v>
      </c>
      <c r="AB42" s="614">
        <v>0</v>
      </c>
      <c r="AC42" s="614">
        <v>0</v>
      </c>
      <c r="AD42" s="614">
        <v>0</v>
      </c>
      <c r="AE42" s="614">
        <v>0</v>
      </c>
      <c r="AF42" s="616">
        <f>SUM(AA42:AE42)</f>
        <v>0</v>
      </c>
    </row>
    <row r="43" spans="2:32" ht="15.75" thickBot="1" x14ac:dyDescent="0.3">
      <c r="B43" s="458" t="s">
        <v>88</v>
      </c>
      <c r="C43" s="467">
        <f t="shared" ref="C43:H43" si="14">C41-C42</f>
        <v>6937.3562248555818</v>
      </c>
      <c r="D43" s="467">
        <f t="shared" si="14"/>
        <v>53237.79001244167</v>
      </c>
      <c r="E43" s="467">
        <f t="shared" si="14"/>
        <v>55771.111587634412</v>
      </c>
      <c r="F43" s="467">
        <f t="shared" si="14"/>
        <v>70799.817842518503</v>
      </c>
      <c r="G43" s="467">
        <f t="shared" si="14"/>
        <v>41983.484465577334</v>
      </c>
      <c r="H43" s="467">
        <f t="shared" si="14"/>
        <v>228729.56013302749</v>
      </c>
      <c r="J43" s="613" t="s">
        <v>88</v>
      </c>
      <c r="K43" s="619">
        <f t="shared" ref="K43:P43" si="15">K41-K42</f>
        <v>6937.3562248555818</v>
      </c>
      <c r="L43" s="619">
        <f t="shared" si="15"/>
        <v>59082.381657826765</v>
      </c>
      <c r="M43" s="619">
        <f t="shared" si="15"/>
        <v>40532.729990832777</v>
      </c>
      <c r="N43" s="619">
        <f t="shared" si="15"/>
        <v>118.60811531094114</v>
      </c>
      <c r="O43" s="619">
        <f t="shared" si="15"/>
        <v>0</v>
      </c>
      <c r="P43" s="619">
        <f t="shared" si="15"/>
        <v>106671.07598882607</v>
      </c>
      <c r="R43" s="613" t="s">
        <v>88</v>
      </c>
      <c r="S43" s="619">
        <f t="shared" ref="S43:X43" si="16">S41-S42</f>
        <v>0</v>
      </c>
      <c r="T43" s="619">
        <f t="shared" si="16"/>
        <v>-5844.591645385095</v>
      </c>
      <c r="U43" s="619">
        <f t="shared" si="16"/>
        <v>-1031.3985256561864</v>
      </c>
      <c r="V43" s="619">
        <f t="shared" si="16"/>
        <v>0</v>
      </c>
      <c r="W43" s="619">
        <f t="shared" si="16"/>
        <v>0</v>
      </c>
      <c r="X43" s="619">
        <f t="shared" si="16"/>
        <v>-6875.9901710412814</v>
      </c>
      <c r="Z43" s="613" t="s">
        <v>88</v>
      </c>
      <c r="AA43" s="619">
        <f t="shared" ref="AA43:AF43" si="17">AA41-AA42</f>
        <v>0</v>
      </c>
      <c r="AB43" s="619">
        <f t="shared" si="17"/>
        <v>0</v>
      </c>
      <c r="AC43" s="619">
        <f t="shared" si="17"/>
        <v>16269.780122457825</v>
      </c>
      <c r="AD43" s="619">
        <f t="shared" si="17"/>
        <v>70681.209727207577</v>
      </c>
      <c r="AE43" s="619">
        <f t="shared" si="17"/>
        <v>41983.484465577334</v>
      </c>
      <c r="AF43" s="619">
        <f t="shared" si="17"/>
        <v>128934.47431524273</v>
      </c>
    </row>
    <row r="44" spans="2:32" ht="13.9" customHeight="1" x14ac:dyDescent="0.25">
      <c r="B44" s="464" t="s">
        <v>72</v>
      </c>
      <c r="C44" s="468">
        <f t="shared" ref="C44:H44" si="18">C43-(K43+S43+AA43)</f>
        <v>0</v>
      </c>
      <c r="D44" s="468">
        <f t="shared" si="18"/>
        <v>0</v>
      </c>
      <c r="E44" s="468">
        <f t="shared" si="18"/>
        <v>0</v>
      </c>
      <c r="F44" s="468">
        <f t="shared" si="18"/>
        <v>0</v>
      </c>
      <c r="G44" s="468">
        <f t="shared" si="18"/>
        <v>0</v>
      </c>
      <c r="H44" s="468">
        <f t="shared" si="18"/>
        <v>0</v>
      </c>
      <c r="J44" s="708" t="s">
        <v>554</v>
      </c>
      <c r="K44" s="614"/>
      <c r="L44" s="581"/>
      <c r="M44" s="581"/>
      <c r="N44" s="614"/>
      <c r="O44" s="581"/>
      <c r="P44" s="614"/>
      <c r="R44" s="168" t="s">
        <v>72</v>
      </c>
      <c r="S44" s="476">
        <v>0</v>
      </c>
      <c r="T44" s="475">
        <v>0</v>
      </c>
      <c r="U44" s="475">
        <v>0</v>
      </c>
      <c r="V44" s="476">
        <v>0</v>
      </c>
      <c r="W44" s="476">
        <v>0</v>
      </c>
      <c r="X44" s="38">
        <f>SUM(S44:W44)</f>
        <v>0</v>
      </c>
      <c r="Z44" s="168" t="s">
        <v>72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2:32" x14ac:dyDescent="0.25">
      <c r="B45" s="25"/>
      <c r="C45" s="47"/>
      <c r="D45" s="47"/>
      <c r="E45" s="47"/>
      <c r="F45" s="47"/>
      <c r="G45" s="47"/>
      <c r="H45" s="27"/>
      <c r="R45" s="139" t="s">
        <v>560</v>
      </c>
      <c r="Z45" s="54" t="s">
        <v>721</v>
      </c>
    </row>
    <row r="46" spans="2:32" ht="20.45" customHeight="1" x14ac:dyDescent="0.25">
      <c r="B46" s="118" t="s">
        <v>648</v>
      </c>
      <c r="C46" s="117"/>
      <c r="D46" s="117"/>
      <c r="E46" s="117"/>
      <c r="F46" s="117"/>
      <c r="G46" s="117"/>
      <c r="H46" s="117"/>
    </row>
    <row r="47" spans="2:32" x14ac:dyDescent="0.25">
      <c r="B47" t="s">
        <v>629</v>
      </c>
      <c r="C47" s="4">
        <v>2016</v>
      </c>
      <c r="D47" s="4">
        <v>2017</v>
      </c>
      <c r="E47" s="4">
        <v>2018</v>
      </c>
      <c r="F47" s="4">
        <v>2019</v>
      </c>
      <c r="G47" s="4">
        <v>2020</v>
      </c>
      <c r="H47" s="4" t="s">
        <v>6</v>
      </c>
    </row>
    <row r="48" spans="2:32" x14ac:dyDescent="0.25">
      <c r="B48" t="s">
        <v>42</v>
      </c>
      <c r="C48" s="27">
        <f>SUM(Direct_Summary!D7,Direct_Summary!D11,Direct_Summary!D15)</f>
        <v>0</v>
      </c>
      <c r="D48" s="27">
        <f>SUM(Direct_Summary!E7,Direct_Summary!E11,Direct_Summary!E15)</f>
        <v>0</v>
      </c>
      <c r="E48" s="27">
        <f>SUM(Direct_Summary!F7,Direct_Summary!F11,Direct_Summary!F15)</f>
        <v>0</v>
      </c>
      <c r="F48" s="27">
        <f>SUM(Direct_Summary!G7,Direct_Summary!G11,Direct_Summary!G15)</f>
        <v>7540.3226684392812</v>
      </c>
      <c r="G48" s="27">
        <f>SUM(Direct_Summary!H7,Direct_Summary!H11,Direct_Summary!H15)</f>
        <v>23551.954747761574</v>
      </c>
      <c r="H48" s="28">
        <f t="shared" ref="H48:H55" si="19">SUM(C48:G48)</f>
        <v>31092.277416200857</v>
      </c>
      <c r="I48" s="48"/>
    </row>
    <row r="49" spans="2:9" x14ac:dyDescent="0.25">
      <c r="B49" t="s">
        <v>43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8">
        <f t="shared" si="19"/>
        <v>0</v>
      </c>
      <c r="I49" s="48"/>
    </row>
    <row r="50" spans="2:9" x14ac:dyDescent="0.25">
      <c r="B50" t="s">
        <v>44</v>
      </c>
      <c r="C50" s="27">
        <f>SUM(Direct_Summary!D8,Direct_Summary!D12,Direct_Summary!D16)</f>
        <v>0</v>
      </c>
      <c r="D50" s="27">
        <f>SUM(Direct_Summary!E8,Direct_Summary!E12,Direct_Summary!E16)</f>
        <v>0</v>
      </c>
      <c r="E50" s="27">
        <f>SUM(Direct_Summary!F8,Direct_Summary!F12,Direct_Summary!F16)</f>
        <v>226.2962962962963</v>
      </c>
      <c r="F50" s="27">
        <f>SUM(Direct_Summary!G8,Direct_Summary!G12,Direct_Summary!G16)</f>
        <v>1518.0235510146729</v>
      </c>
      <c r="G50" s="27">
        <f>SUM(Direct_Summary!H8,Direct_Summary!H12,Direct_Summary!H16)</f>
        <v>3674.6180476433146</v>
      </c>
      <c r="H50" s="28">
        <f t="shared" si="19"/>
        <v>5418.9378949542843</v>
      </c>
      <c r="I50" s="48"/>
    </row>
    <row r="51" spans="2:9" x14ac:dyDescent="0.25">
      <c r="B51" t="s">
        <v>83</v>
      </c>
      <c r="C51" s="27">
        <f>Direct_Summary!D22</f>
        <v>0</v>
      </c>
      <c r="D51" s="27">
        <f>Direct_Summary!E22</f>
        <v>0</v>
      </c>
      <c r="E51" s="27">
        <f>Direct_Summary!F22</f>
        <v>0</v>
      </c>
      <c r="F51" s="27">
        <f>Direct_Summary!G22</f>
        <v>36.800533017166039</v>
      </c>
      <c r="G51" s="27">
        <f>Direct_Summary!H22</f>
        <v>3407.4956604321083</v>
      </c>
      <c r="H51" s="28">
        <f t="shared" si="19"/>
        <v>3444.2961934492741</v>
      </c>
    </row>
    <row r="52" spans="2:9" x14ac:dyDescent="0.25">
      <c r="B52" t="s">
        <v>84</v>
      </c>
      <c r="C52" s="27">
        <f>Overheads!C76</f>
        <v>0</v>
      </c>
      <c r="D52" s="27">
        <f>Overheads!D76</f>
        <v>0</v>
      </c>
      <c r="E52" s="27">
        <f>Overheads!E76</f>
        <v>6.305386042599415</v>
      </c>
      <c r="F52" s="27">
        <f>Overheads!F76</f>
        <v>253.53886493081058</v>
      </c>
      <c r="G52" s="27">
        <f>Overheads!G76</f>
        <v>786.51613742806296</v>
      </c>
      <c r="H52" s="28">
        <f t="shared" si="19"/>
        <v>1046.3603884014728</v>
      </c>
    </row>
    <row r="53" spans="2:9" x14ac:dyDescent="0.25">
      <c r="B53" t="s">
        <v>85</v>
      </c>
      <c r="C53" s="27">
        <f>Direct_Summary!D46</f>
        <v>0</v>
      </c>
      <c r="D53" s="27">
        <f>Direct_Summary!E46</f>
        <v>0</v>
      </c>
      <c r="E53" s="27">
        <f>Direct_Summary!F46</f>
        <v>1.3745530286152872</v>
      </c>
      <c r="F53" s="27">
        <f>Direct_Summary!G46</f>
        <v>179.3919187568454</v>
      </c>
      <c r="G53" s="27">
        <f>Direct_Summary!H46</f>
        <v>696.66550554168339</v>
      </c>
      <c r="H53" s="28">
        <f t="shared" si="19"/>
        <v>877.43197732714407</v>
      </c>
      <c r="I53" s="37"/>
    </row>
    <row r="54" spans="2:9" x14ac:dyDescent="0.25">
      <c r="B54" s="25" t="s">
        <v>630</v>
      </c>
      <c r="C54" s="115">
        <f t="shared" ref="C54:H54" si="20">SUM(C48:C53)</f>
        <v>0</v>
      </c>
      <c r="D54" s="115">
        <f t="shared" si="20"/>
        <v>0</v>
      </c>
      <c r="E54" s="115">
        <f t="shared" si="20"/>
        <v>233.97623536751101</v>
      </c>
      <c r="F54" s="115">
        <f t="shared" si="20"/>
        <v>9528.0775361587748</v>
      </c>
      <c r="G54" s="115">
        <f t="shared" si="20"/>
        <v>32117.250098806744</v>
      </c>
      <c r="H54" s="36">
        <f t="shared" si="20"/>
        <v>41879.303870333039</v>
      </c>
    </row>
    <row r="55" spans="2:9" x14ac:dyDescent="0.25">
      <c r="B55" s="199" t="s">
        <v>72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28">
        <f t="shared" si="19"/>
        <v>0</v>
      </c>
    </row>
    <row r="56" spans="2:9" ht="15.75" thickBot="1" x14ac:dyDescent="0.3">
      <c r="B56" s="25"/>
      <c r="C56" s="116">
        <f t="shared" ref="C56:H56" si="21">C54-C55</f>
        <v>0</v>
      </c>
      <c r="D56" s="116">
        <f t="shared" si="21"/>
        <v>0</v>
      </c>
      <c r="E56" s="116">
        <f t="shared" si="21"/>
        <v>233.97623536751101</v>
      </c>
      <c r="F56" s="116">
        <f t="shared" si="21"/>
        <v>9528.0775361587748</v>
      </c>
      <c r="G56" s="116">
        <f t="shared" si="21"/>
        <v>32117.250098806744</v>
      </c>
      <c r="H56" s="116">
        <f t="shared" si="21"/>
        <v>41879.303870333039</v>
      </c>
    </row>
    <row r="57" spans="2:9" x14ac:dyDescent="0.25">
      <c r="B57" s="25" t="s">
        <v>631</v>
      </c>
      <c r="C57" s="196">
        <f>C56-(Direct_Summary!D69+Overheads!C76)</f>
        <v>0</v>
      </c>
      <c r="D57" s="196">
        <f>D56-(Direct_Summary!E69+Overheads!D76)</f>
        <v>0</v>
      </c>
      <c r="E57" s="196">
        <f>E56-(Direct_Summary!F69+Overheads!E76)</f>
        <v>0</v>
      </c>
      <c r="F57" s="196">
        <f>F56-(Direct_Summary!G69+Overheads!F76)</f>
        <v>0</v>
      </c>
      <c r="G57" s="196">
        <f>G56-(Direct_Summary!H69+Overheads!G76)</f>
        <v>0</v>
      </c>
      <c r="H57" s="196">
        <f>H56-(Direct_Summary!I69+Overheads!H76)</f>
        <v>0</v>
      </c>
    </row>
    <row r="60" spans="2:9" ht="18" customHeight="1" x14ac:dyDescent="0.25">
      <c r="B60" s="118" t="s">
        <v>646</v>
      </c>
      <c r="C60" s="117"/>
      <c r="D60" s="117"/>
      <c r="E60" s="117"/>
      <c r="F60" s="117"/>
      <c r="G60" s="117"/>
      <c r="H60" s="117"/>
    </row>
    <row r="61" spans="2:9" x14ac:dyDescent="0.25">
      <c r="B61" s="53" t="s">
        <v>92</v>
      </c>
      <c r="C61" s="4">
        <v>2016</v>
      </c>
      <c r="D61" s="4">
        <v>2017</v>
      </c>
      <c r="E61" s="4">
        <v>2018</v>
      </c>
      <c r="F61" s="4">
        <v>2019</v>
      </c>
      <c r="G61" s="4">
        <v>2020</v>
      </c>
      <c r="H61" s="4" t="s">
        <v>6</v>
      </c>
    </row>
    <row r="62" spans="2:9" x14ac:dyDescent="0.25">
      <c r="B62" t="s">
        <v>42</v>
      </c>
      <c r="C62" s="140">
        <f>SUM(Direct_Summary!D53,Direct_Summary!D57,Direct_Summary!D61)</f>
        <v>0</v>
      </c>
      <c r="D62" s="140">
        <f>SUM(Direct_Summary!E53,Direct_Summary!E57,Direct_Summary!E61)</f>
        <v>0</v>
      </c>
      <c r="E62" s="140">
        <f>SUM(Direct_Summary!F53,Direct_Summary!F57,Direct_Summary!F61)</f>
        <v>0</v>
      </c>
      <c r="F62" s="140">
        <f>SUM(Direct_Summary!G53,Direct_Summary!G57,Direct_Summary!G61)</f>
        <v>7690.0185725174942</v>
      </c>
      <c r="G62" s="140">
        <f>SUM(Direct_Summary!H53,Direct_Summary!H57,Direct_Summary!H61)</f>
        <v>24058.143586355643</v>
      </c>
      <c r="H62" s="28">
        <f t="shared" ref="H62:H69" si="22">SUM(C62:G62)</f>
        <v>31748.162158873136</v>
      </c>
    </row>
    <row r="63" spans="2:9" x14ac:dyDescent="0.25">
      <c r="B63" t="s">
        <v>43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28">
        <f t="shared" si="22"/>
        <v>0</v>
      </c>
    </row>
    <row r="64" spans="2:9" x14ac:dyDescent="0.25">
      <c r="B64" t="s">
        <v>44</v>
      </c>
      <c r="C64" s="140">
        <f>SUM(Direct_Summary!D54,Direct_Summary!D58,Direct_Summary!D62)</f>
        <v>0</v>
      </c>
      <c r="D64" s="140">
        <f>SUM(Direct_Summary!E54,Direct_Summary!E58,Direct_Summary!E62)</f>
        <v>0</v>
      </c>
      <c r="E64" s="140">
        <f>SUM(Direct_Summary!F54,Direct_Summary!F58,Direct_Summary!F62)</f>
        <v>227.67084932491159</v>
      </c>
      <c r="F64" s="140">
        <f>SUM(Direct_Summary!G54,Direct_Summary!G58,Direct_Summary!G62)</f>
        <v>1546.7085896092128</v>
      </c>
      <c r="G64" s="140">
        <f>SUM(Direct_Summary!H54,Direct_Summary!H58,Direct_Summary!H62)</f>
        <v>3727.7968256479326</v>
      </c>
      <c r="H64" s="28">
        <f t="shared" si="22"/>
        <v>5502.1762645820572</v>
      </c>
    </row>
    <row r="65" spans="2:8" x14ac:dyDescent="0.25">
      <c r="B65" t="s">
        <v>83</v>
      </c>
      <c r="C65" s="140">
        <f>Direct_Summary!D68</f>
        <v>0</v>
      </c>
      <c r="D65" s="140">
        <f>Direct_Summary!E68</f>
        <v>0</v>
      </c>
      <c r="E65" s="140">
        <f>Direct_Summary!F68</f>
        <v>0</v>
      </c>
      <c r="F65" s="140">
        <f>Direct_Summary!G68</f>
        <v>37.811509101258075</v>
      </c>
      <c r="G65" s="140">
        <f>Direct_Summary!H68</f>
        <v>3544.7935493751033</v>
      </c>
      <c r="H65" s="28">
        <f t="shared" si="22"/>
        <v>3582.6050584763616</v>
      </c>
    </row>
    <row r="66" spans="2:8" x14ac:dyDescent="0.25">
      <c r="B66" t="s">
        <v>84</v>
      </c>
      <c r="C66" s="27">
        <f>Overheads!C76</f>
        <v>0</v>
      </c>
      <c r="D66" s="27">
        <f>Overheads!D76</f>
        <v>0</v>
      </c>
      <c r="E66" s="27">
        <f>Overheads!E76</f>
        <v>6.305386042599415</v>
      </c>
      <c r="F66" s="27">
        <f>Overheads!F76</f>
        <v>253.53886493081058</v>
      </c>
      <c r="G66" s="27">
        <f>Overheads!G76</f>
        <v>786.51613742806296</v>
      </c>
      <c r="H66" s="28">
        <f t="shared" si="22"/>
        <v>1046.3603884014728</v>
      </c>
    </row>
    <row r="67" spans="2:8" x14ac:dyDescent="0.25">
      <c r="B67" t="s">
        <v>85</v>
      </c>
      <c r="C67" s="27"/>
      <c r="D67" s="27"/>
      <c r="E67" s="27"/>
      <c r="F67" s="27"/>
      <c r="G67" s="27"/>
      <c r="H67" s="28">
        <f t="shared" si="22"/>
        <v>0</v>
      </c>
    </row>
    <row r="68" spans="2:8" x14ac:dyDescent="0.25">
      <c r="B68" s="25" t="s">
        <v>86</v>
      </c>
      <c r="C68" s="115">
        <f t="shared" ref="C68:H68" si="23">SUM(C62:C67)</f>
        <v>0</v>
      </c>
      <c r="D68" s="115">
        <f t="shared" si="23"/>
        <v>0</v>
      </c>
      <c r="E68" s="115">
        <f t="shared" si="23"/>
        <v>233.97623536751101</v>
      </c>
      <c r="F68" s="115">
        <f t="shared" si="23"/>
        <v>9528.0775361587748</v>
      </c>
      <c r="G68" s="115">
        <f t="shared" si="23"/>
        <v>32117.25009880674</v>
      </c>
      <c r="H68" s="36">
        <f t="shared" si="23"/>
        <v>41879.303870333024</v>
      </c>
    </row>
    <row r="69" spans="2:8" x14ac:dyDescent="0.25">
      <c r="B69" t="s">
        <v>87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28">
        <f t="shared" si="22"/>
        <v>0</v>
      </c>
    </row>
    <row r="70" spans="2:8" ht="15.75" thickBot="1" x14ac:dyDescent="0.3">
      <c r="B70" s="25" t="s">
        <v>88</v>
      </c>
      <c r="C70" s="116">
        <f t="shared" ref="C70:H70" si="24">C68-C69</f>
        <v>0</v>
      </c>
      <c r="D70" s="116">
        <f t="shared" si="24"/>
        <v>0</v>
      </c>
      <c r="E70" s="116">
        <f t="shared" si="24"/>
        <v>233.97623536751101</v>
      </c>
      <c r="F70" s="116">
        <f t="shared" si="24"/>
        <v>9528.0775361587748</v>
      </c>
      <c r="G70" s="116">
        <f t="shared" si="24"/>
        <v>32117.25009880674</v>
      </c>
      <c r="H70" s="116">
        <f t="shared" si="24"/>
        <v>41879.303870333024</v>
      </c>
    </row>
    <row r="71" spans="2:8" x14ac:dyDescent="0.25">
      <c r="B71" s="199" t="s">
        <v>72</v>
      </c>
      <c r="C71" s="196">
        <f t="shared" ref="C71:H71" si="25">C70-C56</f>
        <v>0</v>
      </c>
      <c r="D71" s="196">
        <f t="shared" si="25"/>
        <v>0</v>
      </c>
      <c r="E71" s="196">
        <f t="shared" si="25"/>
        <v>0</v>
      </c>
      <c r="F71" s="196">
        <f t="shared" si="25"/>
        <v>0</v>
      </c>
      <c r="G71" s="196">
        <f t="shared" si="25"/>
        <v>0</v>
      </c>
      <c r="H71" s="196">
        <f t="shared" si="25"/>
        <v>0</v>
      </c>
    </row>
    <row r="72" spans="2:8" x14ac:dyDescent="0.25">
      <c r="B72" s="25" t="s">
        <v>123</v>
      </c>
      <c r="C72" s="28">
        <f t="shared" ref="C72:H72" si="26">SUM(C62:C65)</f>
        <v>0</v>
      </c>
      <c r="D72" s="28">
        <f t="shared" si="26"/>
        <v>0</v>
      </c>
      <c r="E72" s="28">
        <f t="shared" si="26"/>
        <v>227.67084932491159</v>
      </c>
      <c r="F72" s="28">
        <f t="shared" si="26"/>
        <v>9274.5386712279651</v>
      </c>
      <c r="G72" s="28">
        <f t="shared" si="26"/>
        <v>31330.733961378679</v>
      </c>
      <c r="H72" s="28">
        <f t="shared" si="26"/>
        <v>40832.94348193155</v>
      </c>
    </row>
    <row r="73" spans="2:8" x14ac:dyDescent="0.25">
      <c r="C73" s="37"/>
      <c r="D73" s="37"/>
      <c r="E73" s="37"/>
      <c r="F73" s="37"/>
      <c r="G73" s="37"/>
      <c r="H73" s="37"/>
    </row>
    <row r="74" spans="2:8" ht="19.899999999999999" customHeight="1" x14ac:dyDescent="0.25">
      <c r="B74" s="118" t="s">
        <v>647</v>
      </c>
      <c r="C74" s="117"/>
      <c r="D74" s="117"/>
      <c r="E74" s="117"/>
      <c r="F74" s="117"/>
      <c r="G74" s="117"/>
      <c r="H74" s="117"/>
    </row>
    <row r="75" spans="2:8" x14ac:dyDescent="0.25">
      <c r="B75" s="53" t="s">
        <v>92</v>
      </c>
      <c r="C75" s="4">
        <v>2016</v>
      </c>
      <c r="D75" s="4">
        <v>2017</v>
      </c>
      <c r="E75" s="4">
        <v>2018</v>
      </c>
      <c r="F75" s="4">
        <v>2019</v>
      </c>
      <c r="G75" s="4">
        <v>2020</v>
      </c>
      <c r="H75" s="4" t="s">
        <v>6</v>
      </c>
    </row>
    <row r="76" spans="2:8" x14ac:dyDescent="0.25">
      <c r="B76" t="s">
        <v>42</v>
      </c>
      <c r="C76" s="27">
        <f t="shared" ref="C76:G81" si="27">C62+C21+C35</f>
        <v>68327.664940592556</v>
      </c>
      <c r="D76" s="27">
        <f t="shared" si="27"/>
        <v>116258.35073240451</v>
      </c>
      <c r="E76" s="27">
        <f t="shared" si="27"/>
        <v>95776.419780847558</v>
      </c>
      <c r="F76" s="27">
        <f t="shared" si="27"/>
        <v>111225.98339973754</v>
      </c>
      <c r="G76" s="27">
        <f t="shared" si="27"/>
        <v>93924.156410868949</v>
      </c>
      <c r="H76" s="28">
        <f t="shared" ref="H76:H81" si="28">SUM(C76:G76)</f>
        <v>485512.57526445109</v>
      </c>
    </row>
    <row r="77" spans="2:8" x14ac:dyDescent="0.25">
      <c r="B77" t="s">
        <v>43</v>
      </c>
      <c r="C77" s="27">
        <f t="shared" si="27"/>
        <v>80517.525314748113</v>
      </c>
      <c r="D77" s="27">
        <f t="shared" si="27"/>
        <v>79624.398660671781</v>
      </c>
      <c r="E77" s="27">
        <f t="shared" si="27"/>
        <v>82461.554266143488</v>
      </c>
      <c r="F77" s="27">
        <f t="shared" si="27"/>
        <v>78719.295134663669</v>
      </c>
      <c r="G77" s="27">
        <f t="shared" si="27"/>
        <v>78999.190322479466</v>
      </c>
      <c r="H77" s="28">
        <f t="shared" si="28"/>
        <v>400321.96369870647</v>
      </c>
    </row>
    <row r="78" spans="2:8" x14ac:dyDescent="0.25">
      <c r="B78" t="s">
        <v>44</v>
      </c>
      <c r="C78" s="27">
        <f t="shared" si="27"/>
        <v>135659.98896685391</v>
      </c>
      <c r="D78" s="27">
        <f t="shared" si="27"/>
        <v>150027.01615046899</v>
      </c>
      <c r="E78" s="27">
        <f t="shared" si="27"/>
        <v>158715.30962218402</v>
      </c>
      <c r="F78" s="27">
        <f t="shared" si="27"/>
        <v>164011.1531943898</v>
      </c>
      <c r="G78" s="27">
        <f t="shared" si="27"/>
        <v>160960.46176173445</v>
      </c>
      <c r="H78" s="28">
        <f t="shared" si="28"/>
        <v>769373.92969563114</v>
      </c>
    </row>
    <row r="79" spans="2:8" x14ac:dyDescent="0.25">
      <c r="B79" t="s">
        <v>83</v>
      </c>
      <c r="C79" s="27">
        <f t="shared" si="27"/>
        <v>44504.505991005113</v>
      </c>
      <c r="D79" s="27">
        <f t="shared" si="27"/>
        <v>58680.298594961852</v>
      </c>
      <c r="E79" s="27">
        <f t="shared" si="27"/>
        <v>40739.428949970388</v>
      </c>
      <c r="F79" s="27">
        <f t="shared" si="27"/>
        <v>47220.450435362392</v>
      </c>
      <c r="G79" s="27">
        <f t="shared" si="27"/>
        <v>44391.899608606902</v>
      </c>
      <c r="H79" s="28">
        <f t="shared" si="28"/>
        <v>235536.58357990664</v>
      </c>
    </row>
    <row r="80" spans="2:8" x14ac:dyDescent="0.25">
      <c r="B80" t="s">
        <v>84</v>
      </c>
      <c r="C80" s="27">
        <f t="shared" si="27"/>
        <v>33443.380250633891</v>
      </c>
      <c r="D80" s="27">
        <f t="shared" si="27"/>
        <v>36212.393250484463</v>
      </c>
      <c r="E80" s="27">
        <f t="shared" si="27"/>
        <v>35386.373773128471</v>
      </c>
      <c r="F80" s="27">
        <f t="shared" si="27"/>
        <v>35959.341818192501</v>
      </c>
      <c r="G80" s="27">
        <f t="shared" si="27"/>
        <v>35682.224630375087</v>
      </c>
      <c r="H80" s="28">
        <f t="shared" si="28"/>
        <v>176683.7137228144</v>
      </c>
    </row>
    <row r="81" spans="2:8" x14ac:dyDescent="0.25">
      <c r="B81" t="s">
        <v>85</v>
      </c>
      <c r="C81" s="27">
        <f t="shared" si="27"/>
        <v>0</v>
      </c>
      <c r="D81" s="27">
        <f t="shared" si="27"/>
        <v>0</v>
      </c>
      <c r="E81" s="27">
        <f t="shared" si="27"/>
        <v>0</v>
      </c>
      <c r="F81" s="27">
        <f t="shared" si="27"/>
        <v>0</v>
      </c>
      <c r="G81" s="27">
        <f t="shared" si="27"/>
        <v>0</v>
      </c>
      <c r="H81" s="28">
        <f t="shared" si="28"/>
        <v>0</v>
      </c>
    </row>
    <row r="82" spans="2:8" x14ac:dyDescent="0.25">
      <c r="B82" s="25" t="s">
        <v>86</v>
      </c>
      <c r="C82" s="115">
        <f t="shared" ref="C82:H82" si="29">SUM(C76:C81)</f>
        <v>362453.06546383357</v>
      </c>
      <c r="D82" s="115">
        <f t="shared" si="29"/>
        <v>440802.45738899161</v>
      </c>
      <c r="E82" s="115">
        <f t="shared" si="29"/>
        <v>413079.08639227395</v>
      </c>
      <c r="F82" s="115">
        <f t="shared" si="29"/>
        <v>437136.22398234589</v>
      </c>
      <c r="G82" s="115">
        <f t="shared" si="29"/>
        <v>413957.93273406487</v>
      </c>
      <c r="H82" s="36">
        <f t="shared" si="29"/>
        <v>2067428.7659615097</v>
      </c>
    </row>
    <row r="83" spans="2:8" x14ac:dyDescent="0.25">
      <c r="B83" t="s">
        <v>87</v>
      </c>
      <c r="C83" s="27">
        <f>C69+C28+C42</f>
        <v>39336.106443631594</v>
      </c>
      <c r="D83" s="27">
        <f>D69+D28+D42</f>
        <v>38956.561621772482</v>
      </c>
      <c r="E83" s="27">
        <f>E69+E28+E42</f>
        <v>40520.062107075064</v>
      </c>
      <c r="F83" s="27">
        <f>F69+F28+F42</f>
        <v>38661.075317990333</v>
      </c>
      <c r="G83" s="27">
        <f>G69+G28+G42</f>
        <v>38927.886809860618</v>
      </c>
      <c r="H83" s="28">
        <f>SUM(C83:G83)</f>
        <v>196401.69230033009</v>
      </c>
    </row>
    <row r="84" spans="2:8" ht="15.75" thickBot="1" x14ac:dyDescent="0.3">
      <c r="B84" s="25" t="s">
        <v>88</v>
      </c>
      <c r="C84" s="116">
        <f t="shared" ref="C84:H84" si="30">C82-C83</f>
        <v>323116.95902020199</v>
      </c>
      <c r="D84" s="116">
        <f t="shared" si="30"/>
        <v>401845.89576721913</v>
      </c>
      <c r="E84" s="116">
        <f t="shared" si="30"/>
        <v>372559.02428519889</v>
      </c>
      <c r="F84" s="116">
        <f t="shared" si="30"/>
        <v>398475.14866435557</v>
      </c>
      <c r="G84" s="116">
        <f t="shared" si="30"/>
        <v>375030.04592420429</v>
      </c>
      <c r="H84" s="116">
        <f t="shared" si="30"/>
        <v>1871027.0736611795</v>
      </c>
    </row>
    <row r="85" spans="2:8" x14ac:dyDescent="0.25">
      <c r="B85" s="199" t="s">
        <v>72</v>
      </c>
      <c r="C85" s="183">
        <f t="shared" ref="C85:H85" si="31">C84-C70-C29-C43</f>
        <v>0</v>
      </c>
      <c r="D85" s="183">
        <f t="shared" si="31"/>
        <v>0</v>
      </c>
      <c r="E85" s="183">
        <f t="shared" si="31"/>
        <v>0</v>
      </c>
      <c r="F85" s="183">
        <f t="shared" si="31"/>
        <v>0</v>
      </c>
      <c r="G85" s="183">
        <f t="shared" si="31"/>
        <v>0</v>
      </c>
      <c r="H85" s="183">
        <f t="shared" si="31"/>
        <v>0</v>
      </c>
    </row>
    <row r="87" spans="2:8" x14ac:dyDescent="0.25">
      <c r="B87" s="429"/>
    </row>
  </sheetData>
  <pageMargins left="0.7" right="0.7" top="0.75" bottom="0.75" header="0.3" footer="0.3"/>
  <pageSetup paperSize="9" orientation="portrait" verticalDpi="0" r:id="rId1"/>
  <ignoredErrors>
    <ignoredError sqref="C82:H82" formula="1"/>
    <ignoredError sqref="C41:G41 K41:O41 S41:X41" formulaRange="1"/>
    <ignoredError sqref="H41 P41" formula="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V40"/>
  <sheetViews>
    <sheetView zoomScale="85" zoomScaleNormal="85" workbookViewId="0">
      <selection activeCell="C47" sqref="C47"/>
    </sheetView>
  </sheetViews>
  <sheetFormatPr defaultRowHeight="15" outlineLevelRow="1" x14ac:dyDescent="0.25"/>
  <cols>
    <col min="1" max="1" width="4.28515625" customWidth="1"/>
    <col min="2" max="2" width="20.7109375" customWidth="1"/>
    <col min="3" max="3" width="11.85546875" customWidth="1"/>
    <col min="4" max="4" width="12" customWidth="1"/>
    <col min="5" max="5" width="10.28515625" customWidth="1"/>
    <col min="6" max="6" width="13.7109375" customWidth="1"/>
    <col min="7" max="7" width="11.7109375" customWidth="1"/>
    <col min="8" max="8" width="13.7109375" customWidth="1"/>
    <col min="9" max="9" width="10.28515625" bestFit="1" customWidth="1"/>
    <col min="10" max="10" width="10.42578125" customWidth="1"/>
    <col min="12" max="12" width="10.28515625" customWidth="1"/>
  </cols>
  <sheetData>
    <row r="1" spans="2:22" ht="15.75" x14ac:dyDescent="0.25">
      <c r="B1" s="123" t="s">
        <v>91</v>
      </c>
    </row>
    <row r="2" spans="2:22" ht="15.75" x14ac:dyDescent="0.25">
      <c r="B2" s="123"/>
    </row>
    <row r="3" spans="2:22" x14ac:dyDescent="0.25">
      <c r="B3" s="25" t="s">
        <v>590</v>
      </c>
    </row>
    <row r="5" spans="2:22" ht="45" x14ac:dyDescent="0.25">
      <c r="C5" s="13" t="s">
        <v>45</v>
      </c>
      <c r="D5" s="13" t="s">
        <v>17</v>
      </c>
      <c r="E5" s="13" t="s">
        <v>8</v>
      </c>
      <c r="F5" s="13" t="s">
        <v>475</v>
      </c>
      <c r="G5" s="13" t="s">
        <v>46</v>
      </c>
      <c r="H5" s="13" t="s">
        <v>47</v>
      </c>
      <c r="I5" s="13" t="s">
        <v>77</v>
      </c>
      <c r="J5" s="13" t="s">
        <v>6</v>
      </c>
      <c r="K5" s="13" t="s">
        <v>72</v>
      </c>
      <c r="L5" s="13" t="s">
        <v>141</v>
      </c>
    </row>
    <row r="6" spans="2:22" x14ac:dyDescent="0.25">
      <c r="B6" t="str">
        <f>STN_1</f>
        <v>BN</v>
      </c>
      <c r="C6" s="27">
        <f>SUMIF(Direct_Capex_Composition!$B$7:$B$25,$B6,Direct_Capex_Composition!$BG$7:$BG$25)</f>
        <v>11410.276376985074</v>
      </c>
      <c r="D6" s="27">
        <f>SUM(Direct_Capex_Composition!BG29:BG30)</f>
        <v>3900.6978744037369</v>
      </c>
      <c r="E6" s="27">
        <f>Direct_Capex_Composition!BG43</f>
        <v>1629.4466735601982</v>
      </c>
      <c r="F6" s="27">
        <f>Direct_Capex_Composition!BG51</f>
        <v>1608.7791589246572</v>
      </c>
      <c r="G6" s="27">
        <f>SUM(Direct_Capex_Composition!BG59+Direct_Capex_Composition!BG67+Direct_Capex_Composition!BG75)</f>
        <v>819.3154292440172</v>
      </c>
      <c r="H6" s="27">
        <f>Direct_Capex_Composition!BG83</f>
        <v>178.92680213465258</v>
      </c>
      <c r="I6" s="27"/>
      <c r="J6" s="27">
        <f t="shared" ref="J6:J12" si="0">SUM(C6:I6)</f>
        <v>19547.442315252334</v>
      </c>
      <c r="K6" s="183">
        <f>J6-Direct_Capex_Composition!BG107</f>
        <v>0</v>
      </c>
      <c r="L6" s="28">
        <f>J6-H6-I6</f>
        <v>19368.51551311768</v>
      </c>
      <c r="O6" s="207"/>
      <c r="P6" s="207"/>
      <c r="Q6" s="207"/>
      <c r="R6" s="207"/>
      <c r="S6" s="207"/>
      <c r="T6" s="207"/>
      <c r="U6" s="207"/>
      <c r="V6" s="207"/>
    </row>
    <row r="7" spans="2:22" x14ac:dyDescent="0.25">
      <c r="B7" t="str">
        <f>STN_2</f>
        <v>KLO</v>
      </c>
      <c r="C7" s="27">
        <f>SUMIF(Direct_Capex_Composition!$B$7:$B$25,$B7,Direct_Capex_Composition!$BG$7:$BG$25)</f>
        <v>15490.571821473935</v>
      </c>
      <c r="D7" s="27">
        <f>SUM(Direct_Capex_Composition!BG31:BG32)</f>
        <v>1433.9400195234643</v>
      </c>
      <c r="E7" s="27">
        <f>Direct_Capex_Composition!BG44</f>
        <v>210.08260512225777</v>
      </c>
      <c r="F7" s="27">
        <f>Direct_Capex_Composition!BG52</f>
        <v>416.91663854179507</v>
      </c>
      <c r="G7" s="27">
        <f>SUM(Direct_Capex_Composition!BG60+Direct_Capex_Composition!BG68+Direct_Capex_Composition!BG76)</f>
        <v>215.71933610709527</v>
      </c>
      <c r="H7" s="27">
        <f>Direct_Capex_Composition!BG84</f>
        <v>268.39020320197892</v>
      </c>
      <c r="I7" s="27"/>
      <c r="J7" s="27">
        <f t="shared" si="0"/>
        <v>18035.620623970528</v>
      </c>
      <c r="K7" s="183">
        <f>J7-Direct_Capex_Composition!BG108</f>
        <v>0</v>
      </c>
      <c r="L7" s="28">
        <f t="shared" ref="L7:L12" si="1">J7-H7-I7</f>
        <v>17767.230420768548</v>
      </c>
      <c r="O7" s="207"/>
      <c r="P7" s="207"/>
      <c r="Q7" s="207"/>
      <c r="R7" s="207"/>
      <c r="S7" s="207"/>
      <c r="T7" s="207"/>
      <c r="U7" s="207"/>
      <c r="V7" s="207"/>
    </row>
    <row r="8" spans="2:22" x14ac:dyDescent="0.25">
      <c r="B8" t="str">
        <f>STN_3</f>
        <v>LLG</v>
      </c>
      <c r="C8" s="27">
        <f>SUMIF(Direct_Capex_Composition!$B$7:$B$25,$B8,Direct_Capex_Composition!$BG$7:$BG$25)</f>
        <v>8525.3829906729134</v>
      </c>
      <c r="D8" s="27">
        <f>SUM(Direct_Capex_Composition!BG33:BG34)</f>
        <v>1963.8513153914248</v>
      </c>
      <c r="E8" s="27">
        <f>Direct_Capex_Composition!BG45</f>
        <v>534.09060307200866</v>
      </c>
      <c r="F8" s="27">
        <f>Direct_Capex_Composition!BG53</f>
        <v>323.46018209616182</v>
      </c>
      <c r="G8" s="27">
        <f>SUM(Direct_Capex_Composition!BG61+Direct_Capex_Composition!BG69+Direct_Capex_Composition!BG77)</f>
        <v>364.49575598648715</v>
      </c>
      <c r="H8" s="27">
        <f>Direct_Capex_Composition!BG85</f>
        <v>89.463401067326288</v>
      </c>
      <c r="I8" s="27"/>
      <c r="J8" s="27">
        <f t="shared" si="0"/>
        <v>11800.744248286323</v>
      </c>
      <c r="K8" s="183">
        <f>J8-Direct_Capex_Composition!BG109</f>
        <v>0</v>
      </c>
      <c r="L8" s="28">
        <f t="shared" si="1"/>
        <v>11711.280847218995</v>
      </c>
      <c r="O8" s="207"/>
      <c r="P8" s="207"/>
      <c r="Q8" s="207"/>
      <c r="R8" s="207"/>
      <c r="S8" s="207"/>
      <c r="T8" s="207"/>
      <c r="U8" s="207"/>
      <c r="V8" s="207"/>
    </row>
    <row r="9" spans="2:22" x14ac:dyDescent="0.25">
      <c r="B9" t="str">
        <f>STN_4</f>
        <v>MSD</v>
      </c>
      <c r="C9" s="27">
        <f>SUMIF(Direct_Capex_Composition!$B$7:$B$25,$B9,Direct_Capex_Composition!$BG$7:$BG$25)</f>
        <v>8057.1977567036229</v>
      </c>
      <c r="D9" s="27">
        <f>SUM(Direct_Capex_Composition!BG35:BG36)</f>
        <v>1817.0104857458143</v>
      </c>
      <c r="E9" s="27">
        <f>Direct_Capex_Composition!BG46</f>
        <v>1021.1477870867955</v>
      </c>
      <c r="F9" s="27">
        <f>Direct_Capex_Composition!BG54</f>
        <v>175.42798488995726</v>
      </c>
      <c r="G9" s="27">
        <f>SUM(Direct_Capex_Composition!BG62+Direct_Capex_Composition!BG70+Direct_Capex_Composition!BG78)</f>
        <v>301.79804656846102</v>
      </c>
      <c r="H9" s="27">
        <f>Direct_Capex_Composition!BG86</f>
        <v>0</v>
      </c>
      <c r="I9" s="27"/>
      <c r="J9" s="27">
        <f t="shared" si="0"/>
        <v>11372.58206099465</v>
      </c>
      <c r="K9" s="183">
        <f>J9-Direct_Capex_Composition!BG110</f>
        <v>0</v>
      </c>
      <c r="L9" s="28">
        <f t="shared" si="1"/>
        <v>11372.58206099465</v>
      </c>
      <c r="O9" s="207"/>
      <c r="P9" s="207"/>
      <c r="Q9" s="207"/>
      <c r="R9" s="207"/>
      <c r="S9" s="207"/>
      <c r="T9" s="207"/>
      <c r="U9" s="207"/>
      <c r="V9" s="207"/>
    </row>
    <row r="10" spans="2:22" x14ac:dyDescent="0.25">
      <c r="B10" t="str">
        <f>STN_5</f>
        <v>SLE</v>
      </c>
      <c r="C10" s="27">
        <f>SUMIF(Direct_Capex_Composition!$B$7:$B$25,$B10,Direct_Capex_Composition!$BG$7:$BG$25)</f>
        <v>9107.8899732708505</v>
      </c>
      <c r="D10" s="27">
        <f>SUM(Direct_Capex_Composition!BG37:BG38)</f>
        <v>2574.0080943184985</v>
      </c>
      <c r="E10" s="27">
        <f>Direct_Capex_Composition!BG47</f>
        <v>1338.8846624955831</v>
      </c>
      <c r="F10" s="27">
        <f>Direct_Capex_Composition!BG55</f>
        <v>1806.2391570850632</v>
      </c>
      <c r="G10" s="27">
        <f>SUM(Direct_Capex_Composition!BG63+Direct_Capex_Composition!BG71+Direct_Capex_Composition!BG79)</f>
        <v>970.05177926508759</v>
      </c>
      <c r="H10" s="27">
        <f>Direct_Capex_Composition!BG87</f>
        <v>89.463401067326288</v>
      </c>
      <c r="I10" s="27"/>
      <c r="J10" s="27">
        <f t="shared" si="0"/>
        <v>15886.53706750241</v>
      </c>
      <c r="K10" s="183">
        <f>J10-Direct_Capex_Composition!BG111</f>
        <v>0</v>
      </c>
      <c r="L10" s="28">
        <f t="shared" si="1"/>
        <v>15797.073666435082</v>
      </c>
      <c r="O10" s="207"/>
      <c r="P10" s="207"/>
      <c r="Q10" s="207"/>
      <c r="R10" s="207"/>
      <c r="S10" s="207"/>
      <c r="T10" s="207"/>
      <c r="U10" s="207"/>
      <c r="V10" s="207"/>
    </row>
    <row r="11" spans="2:22" x14ac:dyDescent="0.25">
      <c r="B11" t="str">
        <f>STN_9</f>
        <v>KLO2</v>
      </c>
      <c r="C11" s="27">
        <f>SUMIF(Direct_Capex_Composition!$B$7:$B$26,$B11,Direct_Capex_Composition!$BG$7:$BG$26)</f>
        <v>16764.836178645757</v>
      </c>
      <c r="D11" s="27">
        <f>SUM(Direct_Capex_Composition!BG39:BG40)</f>
        <v>0</v>
      </c>
      <c r="E11" s="27">
        <f>Direct_Capex_Composition!BG48</f>
        <v>0</v>
      </c>
      <c r="F11" s="27">
        <f>Direct_Capex_Composition!BG56</f>
        <v>0</v>
      </c>
      <c r="G11" s="27">
        <f>SUM(Direct_Capex_Composition!BG64+Direct_Capex_Composition!BG72+Direct_Capex_Composition!BG80)</f>
        <v>0</v>
      </c>
      <c r="H11" s="27">
        <f>Direct_Capex_Composition!BG88</f>
        <v>0</v>
      </c>
      <c r="I11" s="27"/>
      <c r="J11" s="27">
        <f t="shared" si="0"/>
        <v>16764.836178645757</v>
      </c>
      <c r="K11" s="183">
        <f>J11-Direct_Capex_Composition!BG112</f>
        <v>0</v>
      </c>
      <c r="L11" s="28">
        <f t="shared" si="1"/>
        <v>16764.836178645757</v>
      </c>
      <c r="O11" s="191"/>
      <c r="P11" s="191"/>
      <c r="Q11" s="191"/>
      <c r="R11" s="191"/>
      <c r="S11" s="191"/>
      <c r="T11" s="191"/>
      <c r="U11" s="191"/>
      <c r="V11" s="191"/>
    </row>
    <row r="12" spans="2:22" x14ac:dyDescent="0.25">
      <c r="B12" t="s">
        <v>157</v>
      </c>
      <c r="C12" s="27"/>
      <c r="D12" s="27"/>
      <c r="E12" s="27"/>
      <c r="F12" s="27"/>
      <c r="G12" s="27"/>
      <c r="H12" s="27"/>
      <c r="I12" s="27">
        <f>SUM(Direct_Capex_Composition!BG91:BG104)</f>
        <v>10134.431005350512</v>
      </c>
      <c r="J12" s="27">
        <f t="shared" si="0"/>
        <v>10134.431005350512</v>
      </c>
      <c r="K12" s="183">
        <f>J12-Direct_Capex_Composition!BG113</f>
        <v>0</v>
      </c>
      <c r="L12" s="28">
        <f t="shared" si="1"/>
        <v>0</v>
      </c>
      <c r="O12" s="207"/>
      <c r="P12" s="207"/>
      <c r="Q12" s="207"/>
      <c r="R12" s="207"/>
      <c r="S12" s="207"/>
      <c r="T12" s="207"/>
      <c r="U12" s="207"/>
      <c r="V12" s="207"/>
    </row>
    <row r="13" spans="2:22" x14ac:dyDescent="0.25">
      <c r="B13" t="s">
        <v>6</v>
      </c>
      <c r="C13" s="36">
        <f t="shared" ref="C13:L13" si="2">SUM(C6:C12)</f>
        <v>69356.155097752155</v>
      </c>
      <c r="D13" s="36">
        <f t="shared" si="2"/>
        <v>11689.507789382938</v>
      </c>
      <c r="E13" s="36">
        <f t="shared" si="2"/>
        <v>4733.6523313368434</v>
      </c>
      <c r="F13" s="36">
        <f t="shared" si="2"/>
        <v>4330.8231215376345</v>
      </c>
      <c r="G13" s="36">
        <f t="shared" si="2"/>
        <v>2671.3803471711485</v>
      </c>
      <c r="H13" s="36">
        <f t="shared" si="2"/>
        <v>626.24380747128407</v>
      </c>
      <c r="I13" s="36">
        <f t="shared" si="2"/>
        <v>10134.431005350512</v>
      </c>
      <c r="J13" s="36">
        <f t="shared" si="2"/>
        <v>103542.19350000253</v>
      </c>
      <c r="K13" s="183">
        <f t="shared" si="2"/>
        <v>0</v>
      </c>
      <c r="L13" s="36">
        <f t="shared" si="2"/>
        <v>92781.518687180709</v>
      </c>
      <c r="O13" s="46"/>
      <c r="P13" s="46"/>
      <c r="Q13" s="46"/>
      <c r="R13" s="46"/>
      <c r="S13" s="46"/>
      <c r="T13" s="46"/>
      <c r="U13" s="46"/>
      <c r="V13" s="207"/>
    </row>
    <row r="14" spans="2:22" x14ac:dyDescent="0.25">
      <c r="B14" s="41" t="s">
        <v>72</v>
      </c>
      <c r="C14" s="183">
        <f>SUM(Direct_Capex_Composition!BG7:BG26)-C13</f>
        <v>0</v>
      </c>
      <c r="D14" s="183">
        <f>SUM(Direct_Capex_Composition!BG29:BG40)-D13</f>
        <v>0</v>
      </c>
      <c r="E14" s="183">
        <f>SUM(Direct_Capex_Composition!BG43:BG48)-E13</f>
        <v>0</v>
      </c>
      <c r="F14" s="183">
        <f>SUM(Direct_Capex_Composition!BG51:BG56)-F13</f>
        <v>0</v>
      </c>
      <c r="G14" s="183">
        <f>SUM(Direct_Capex_Composition!BG59:BG80)-G13</f>
        <v>0</v>
      </c>
      <c r="H14" s="183">
        <f>SUM(Direct_Capex_Composition!BG83:BG88)-H13</f>
        <v>0</v>
      </c>
      <c r="I14" s="183">
        <f>SUM(Direct_Capex_Composition!BG91:BG104)-I13</f>
        <v>0</v>
      </c>
      <c r="J14" s="196">
        <f>J13-Direct_Capex_Composition!BG114</f>
        <v>0</v>
      </c>
      <c r="O14" s="46"/>
      <c r="P14" s="46"/>
      <c r="Q14" s="46"/>
      <c r="R14" s="46"/>
      <c r="S14" s="46"/>
      <c r="T14" s="46"/>
      <c r="U14" s="46"/>
      <c r="V14" s="207"/>
    </row>
    <row r="15" spans="2:22" x14ac:dyDescent="0.25">
      <c r="C15" s="140"/>
      <c r="D15" s="140"/>
      <c r="E15" s="140"/>
      <c r="F15" s="140"/>
      <c r="G15" s="140"/>
      <c r="H15" s="140"/>
      <c r="I15" s="140"/>
      <c r="J15" s="140"/>
    </row>
    <row r="16" spans="2:22" x14ac:dyDescent="0.25">
      <c r="B16" t="s">
        <v>606</v>
      </c>
      <c r="C16" s="28"/>
      <c r="J16" s="28">
        <f>AVERAGE(J6:J11)</f>
        <v>15567.960415775335</v>
      </c>
      <c r="L16" s="27">
        <f>AVERAGE(L6:L11)</f>
        <v>15463.586447863452</v>
      </c>
    </row>
    <row r="17" spans="2:12" x14ac:dyDescent="0.25">
      <c r="C17" s="28"/>
      <c r="J17" s="11"/>
    </row>
    <row r="18" spans="2:12" x14ac:dyDescent="0.25">
      <c r="B18" s="186" t="s">
        <v>709</v>
      </c>
    </row>
    <row r="19" spans="2:12" x14ac:dyDescent="0.25">
      <c r="B19" s="168"/>
      <c r="C19" s="46"/>
      <c r="D19" s="46"/>
      <c r="E19" s="46"/>
      <c r="F19" s="46"/>
      <c r="G19" s="46"/>
      <c r="H19" s="46"/>
      <c r="I19" s="46"/>
    </row>
    <row r="20" spans="2:12" x14ac:dyDescent="0.25">
      <c r="B20" s="686" t="s">
        <v>710</v>
      </c>
      <c r="C20" s="14"/>
      <c r="D20" s="14"/>
      <c r="E20" s="14"/>
      <c r="F20" s="14"/>
      <c r="G20" s="14"/>
      <c r="I20" s="14"/>
    </row>
    <row r="21" spans="2:12" ht="30" x14ac:dyDescent="0.25">
      <c r="C21" s="674" t="s">
        <v>45</v>
      </c>
      <c r="D21" s="674" t="s">
        <v>17</v>
      </c>
      <c r="E21" s="674" t="s">
        <v>8</v>
      </c>
      <c r="F21" s="674" t="s">
        <v>475</v>
      </c>
      <c r="G21" s="674" t="s">
        <v>46</v>
      </c>
      <c r="H21" s="674" t="s">
        <v>47</v>
      </c>
      <c r="I21" s="674" t="s">
        <v>77</v>
      </c>
      <c r="J21" s="685" t="s">
        <v>6</v>
      </c>
      <c r="K21" s="46"/>
      <c r="L21" s="207"/>
    </row>
    <row r="22" spans="2:12" x14ac:dyDescent="0.25">
      <c r="C22" s="140"/>
      <c r="D22" s="140"/>
      <c r="E22" s="140"/>
      <c r="F22" s="140"/>
      <c r="G22" s="140"/>
      <c r="H22" s="140"/>
      <c r="I22" s="191"/>
      <c r="J22" s="46"/>
      <c r="K22" s="46"/>
      <c r="L22" s="207"/>
    </row>
    <row r="23" spans="2:12" x14ac:dyDescent="0.25">
      <c r="B23" t="str">
        <f>STN_1</f>
        <v>BN</v>
      </c>
      <c r="C23" s="140">
        <f>Direct_Capex_Totals!H5</f>
        <v>5188.6592638758593</v>
      </c>
      <c r="D23" s="140">
        <f>Direct_Capex_Totals!H16</f>
        <v>1551.5128190210221</v>
      </c>
      <c r="E23" s="140">
        <f>Direct_Capex_Totals!H27</f>
        <v>663.7763093047555</v>
      </c>
      <c r="F23" s="140">
        <f>Direct_Capex_Totals!H37</f>
        <v>329.27316519467377</v>
      </c>
      <c r="G23" s="140">
        <f>Direct_Capex_Totals!H47+Direct_Capex_Totals!H58+Direct_Capex_Totals!H69</f>
        <v>395.74417093878276</v>
      </c>
      <c r="H23" s="140">
        <f>Direct_Capex_Totals!H80</f>
        <v>90.531367149803785</v>
      </c>
      <c r="J23" s="372">
        <f>SUM(C23:I23)</f>
        <v>8219.4970954848959</v>
      </c>
      <c r="K23" s="46"/>
      <c r="L23" s="207"/>
    </row>
    <row r="24" spans="2:12" x14ac:dyDescent="0.25">
      <c r="B24" t="str">
        <f>STN_2</f>
        <v>KLO</v>
      </c>
      <c r="C24" s="140">
        <f>Direct_Capex_Totals!H6</f>
        <v>2693.637498685257</v>
      </c>
      <c r="D24" s="140">
        <f>Direct_Capex_Totals!H17</f>
        <v>517.10868946310438</v>
      </c>
      <c r="E24" s="140">
        <f>Direct_Capex_Totals!H28</f>
        <v>85.57988336770741</v>
      </c>
      <c r="F24" s="140">
        <f>Direct_Capex_Totals!H38</f>
        <v>100.38326738341954</v>
      </c>
      <c r="G24" s="140">
        <f>Direct_Capex_Totals!H48+Direct_Capex_Totals!H59+Direct_Capex_Totals!H70</f>
        <v>98.324082199969837</v>
      </c>
      <c r="H24" s="140">
        <f>Direct_Capex_Totals!H81</f>
        <v>133.08002470391824</v>
      </c>
      <c r="I24" s="191"/>
      <c r="J24" s="372">
        <f t="shared" ref="J24:J29" si="3">SUM(C24:I24)</f>
        <v>3628.1134458033762</v>
      </c>
      <c r="K24" s="46"/>
      <c r="L24" s="207"/>
    </row>
    <row r="25" spans="2:12" x14ac:dyDescent="0.25">
      <c r="B25" t="str">
        <f>STN_3</f>
        <v>LLG</v>
      </c>
      <c r="C25" s="140">
        <f>Direct_Capex_Totals!H7</f>
        <v>2087.5742212080522</v>
      </c>
      <c r="D25" s="140">
        <f>Direct_Capex_Totals!H18</f>
        <v>810.13807728787901</v>
      </c>
      <c r="E25" s="140">
        <f>Direct_Capex_Totals!H29</f>
        <v>217.56875821342533</v>
      </c>
      <c r="F25" s="140">
        <f>Direct_Capex_Totals!H39</f>
        <v>78.849053118384134</v>
      </c>
      <c r="G25" s="140">
        <f>Direct_Capex_Totals!H49+Direct_Capex_Totals!H60+Direct_Capex_Totals!H71</f>
        <v>179.87265434279533</v>
      </c>
      <c r="H25" s="140">
        <f>Direct_Capex_Totals!H82</f>
        <v>45.265683574901892</v>
      </c>
      <c r="I25" s="46"/>
      <c r="J25" s="372">
        <f t="shared" si="3"/>
        <v>3419.2684477454377</v>
      </c>
      <c r="K25" s="46"/>
      <c r="L25" s="207"/>
    </row>
    <row r="26" spans="2:12" x14ac:dyDescent="0.25">
      <c r="B26" t="str">
        <f>STN_4</f>
        <v>MSD</v>
      </c>
      <c r="C26" s="140">
        <f>Direct_Capex_Totals!H8</f>
        <v>8057.197756703622</v>
      </c>
      <c r="D26" s="140">
        <f>Direct_Capex_Totals!H19</f>
        <v>1817.0104857458143</v>
      </c>
      <c r="E26" s="140">
        <f>Direct_Capex_Totals!H30</f>
        <v>1021.1477870867953</v>
      </c>
      <c r="F26" s="140">
        <f>Direct_Capex_Totals!H40</f>
        <v>175.42798488995726</v>
      </c>
      <c r="G26" s="140">
        <f>Direct_Capex_Totals!H50+Direct_Capex_Totals!H61+Direct_Capex_Totals!H72</f>
        <v>301.79804656846102</v>
      </c>
      <c r="H26" s="140">
        <f>Direct_Capex_Totals!H83</f>
        <v>0</v>
      </c>
      <c r="I26" s="46"/>
      <c r="J26" s="372">
        <f t="shared" si="3"/>
        <v>11372.58206099465</v>
      </c>
      <c r="K26" s="46"/>
      <c r="L26" s="46"/>
    </row>
    <row r="27" spans="2:12" x14ac:dyDescent="0.25">
      <c r="B27" t="str">
        <f>STN_5</f>
        <v>SLE</v>
      </c>
      <c r="C27" s="140">
        <f>Direct_Capex_Totals!H9</f>
        <v>3879.2815642255955</v>
      </c>
      <c r="D27" s="140">
        <f>Direct_Capex_Totals!H20</f>
        <v>1026.1145267487823</v>
      </c>
      <c r="E27" s="140">
        <f>Direct_Capex_Totals!H31</f>
        <v>545.41209250762779</v>
      </c>
      <c r="F27" s="140">
        <f>Direct_Capex_Totals!H41</f>
        <v>359.07257314195317</v>
      </c>
      <c r="G27" s="140">
        <f>Direct_Capex_Totals!H51+Direct_Capex_Totals!H62+Direct_Capex_Totals!H73</f>
        <v>509.92666527116779</v>
      </c>
      <c r="H27" s="140">
        <f>Direct_Capex_Totals!H84</f>
        <v>45.265683574901892</v>
      </c>
      <c r="J27" s="372">
        <f t="shared" si="3"/>
        <v>6365.0731054700291</v>
      </c>
    </row>
    <row r="28" spans="2:12" x14ac:dyDescent="0.25">
      <c r="B28" t="str">
        <f>STN_9</f>
        <v>KLO2</v>
      </c>
      <c r="C28" s="140">
        <f>Direct_Capex_Totals!H10</f>
        <v>6247.8200905906506</v>
      </c>
      <c r="D28" s="140">
        <f>Direct_Capex_Totals!H21</f>
        <v>0</v>
      </c>
      <c r="E28" s="140">
        <f>Direct_Capex_Totals!H32</f>
        <v>0</v>
      </c>
      <c r="F28" s="140">
        <f>Direct_Capex_Totals!H42</f>
        <v>0</v>
      </c>
      <c r="G28" s="140">
        <f>Direct_Capex_Totals!H52+Direct_Capex_Totals!H63+Direct_Capex_Totals!H74</f>
        <v>0</v>
      </c>
      <c r="H28" s="140">
        <f>Direct_Capex_Totals!H85</f>
        <v>0</v>
      </c>
      <c r="J28" s="372">
        <f t="shared" si="3"/>
        <v>6247.8200905906506</v>
      </c>
    </row>
    <row r="29" spans="2:12" x14ac:dyDescent="0.25">
      <c r="B29" t="s">
        <v>77</v>
      </c>
      <c r="C29" s="140"/>
      <c r="D29" s="140"/>
      <c r="E29" s="140"/>
      <c r="F29" s="140"/>
      <c r="G29" s="140"/>
      <c r="H29" s="140"/>
      <c r="I29" s="372">
        <f>Direct_Capex_Totals!H104</f>
        <v>703.15725851537331</v>
      </c>
      <c r="J29" s="372">
        <f t="shared" si="3"/>
        <v>703.15725851537331</v>
      </c>
    </row>
    <row r="30" spans="2:12" x14ac:dyDescent="0.25">
      <c r="B30" t="s">
        <v>6</v>
      </c>
      <c r="C30" s="470">
        <f t="shared" ref="C30:H30" si="4">SUM(C23:C29)</f>
        <v>28154.170395289038</v>
      </c>
      <c r="D30" s="470">
        <f t="shared" si="4"/>
        <v>5721.8845982666026</v>
      </c>
      <c r="E30" s="470">
        <f t="shared" si="4"/>
        <v>2533.4848304803113</v>
      </c>
      <c r="F30" s="470">
        <f t="shared" si="4"/>
        <v>1043.0060437283878</v>
      </c>
      <c r="G30" s="470">
        <f t="shared" si="4"/>
        <v>1485.6656193211768</v>
      </c>
      <c r="H30" s="470">
        <f t="shared" si="4"/>
        <v>314.14275900352584</v>
      </c>
      <c r="I30" s="470">
        <f>SUM(I23:I29)</f>
        <v>703.15725851537331</v>
      </c>
      <c r="J30" s="470">
        <f>SUM(J23:J29)</f>
        <v>39955.511504604408</v>
      </c>
    </row>
    <row r="31" spans="2:12" x14ac:dyDescent="0.25">
      <c r="J31" s="705" t="b">
        <f>J30/Thousands=Other_Tables!H13</f>
        <v>1</v>
      </c>
    </row>
    <row r="32" spans="2:12" hidden="1" outlineLevel="1" x14ac:dyDescent="0.25">
      <c r="B32" t="s">
        <v>703</v>
      </c>
    </row>
    <row r="33" spans="2:9" hidden="1" outlineLevel="1" x14ac:dyDescent="0.25">
      <c r="B33" t="s">
        <v>619</v>
      </c>
      <c r="C33" s="28">
        <f>C26</f>
        <v>8057.197756703622</v>
      </c>
      <c r="D33" s="28">
        <f t="shared" ref="D33:I33" si="5">D26</f>
        <v>1817.0104857458143</v>
      </c>
      <c r="E33" s="28">
        <f t="shared" si="5"/>
        <v>1021.1477870867953</v>
      </c>
      <c r="F33" s="28">
        <f t="shared" si="5"/>
        <v>175.42798488995726</v>
      </c>
      <c r="G33" s="28">
        <f t="shared" si="5"/>
        <v>301.79804656846102</v>
      </c>
      <c r="H33" s="28">
        <f t="shared" si="5"/>
        <v>0</v>
      </c>
      <c r="I33" s="28">
        <f t="shared" si="5"/>
        <v>0</v>
      </c>
    </row>
    <row r="34" spans="2:9" hidden="1" outlineLevel="1" x14ac:dyDescent="0.25">
      <c r="B34" t="s">
        <v>618</v>
      </c>
      <c r="C34" s="28">
        <f>C25</f>
        <v>2087.5742212080522</v>
      </c>
      <c r="D34" s="28">
        <f t="shared" ref="D34:I34" si="6">D25</f>
        <v>810.13807728787901</v>
      </c>
      <c r="E34" s="28">
        <f t="shared" si="6"/>
        <v>217.56875821342533</v>
      </c>
      <c r="F34" s="28">
        <f t="shared" si="6"/>
        <v>78.849053118384134</v>
      </c>
      <c r="G34" s="28">
        <f t="shared" si="6"/>
        <v>179.87265434279533</v>
      </c>
      <c r="H34" s="28">
        <f t="shared" si="6"/>
        <v>45.265683574901892</v>
      </c>
      <c r="I34" s="28">
        <f t="shared" si="6"/>
        <v>0</v>
      </c>
    </row>
    <row r="35" spans="2:9" hidden="1" outlineLevel="1" x14ac:dyDescent="0.25">
      <c r="B35" t="s">
        <v>620</v>
      </c>
      <c r="C35" s="28">
        <f>C27</f>
        <v>3879.2815642255955</v>
      </c>
      <c r="D35" s="28">
        <f t="shared" ref="D35:I35" si="7">D27</f>
        <v>1026.1145267487823</v>
      </c>
      <c r="E35" s="28">
        <f t="shared" si="7"/>
        <v>545.41209250762779</v>
      </c>
      <c r="F35" s="28">
        <f t="shared" si="7"/>
        <v>359.07257314195317</v>
      </c>
      <c r="G35" s="28">
        <f t="shared" si="7"/>
        <v>509.92666527116779</v>
      </c>
      <c r="H35" s="28">
        <f t="shared" si="7"/>
        <v>45.265683574901892</v>
      </c>
      <c r="I35" s="28">
        <f t="shared" si="7"/>
        <v>0</v>
      </c>
    </row>
    <row r="36" spans="2:9" hidden="1" outlineLevel="1" x14ac:dyDescent="0.25">
      <c r="B36" t="s">
        <v>616</v>
      </c>
      <c r="C36" s="28">
        <f>C23</f>
        <v>5188.6592638758593</v>
      </c>
      <c r="D36" s="28">
        <f t="shared" ref="D36:I36" si="8">D23</f>
        <v>1551.5128190210221</v>
      </c>
      <c r="E36" s="28">
        <f t="shared" si="8"/>
        <v>663.7763093047555</v>
      </c>
      <c r="F36" s="28">
        <f t="shared" si="8"/>
        <v>329.27316519467377</v>
      </c>
      <c r="G36" s="28">
        <f t="shared" si="8"/>
        <v>395.74417093878276</v>
      </c>
      <c r="H36" s="28">
        <f t="shared" si="8"/>
        <v>90.531367149803785</v>
      </c>
      <c r="I36" s="28">
        <f t="shared" si="8"/>
        <v>0</v>
      </c>
    </row>
    <row r="37" spans="2:9" hidden="1" outlineLevel="1" x14ac:dyDescent="0.25">
      <c r="B37" t="s">
        <v>617</v>
      </c>
      <c r="C37" s="28">
        <f>C24</f>
        <v>2693.637498685257</v>
      </c>
      <c r="D37" s="28">
        <f t="shared" ref="D37:I37" si="9">D24</f>
        <v>517.10868946310438</v>
      </c>
      <c r="E37" s="28">
        <f t="shared" si="9"/>
        <v>85.57988336770741</v>
      </c>
      <c r="F37" s="28">
        <f t="shared" si="9"/>
        <v>100.38326738341954</v>
      </c>
      <c r="G37" s="28">
        <f t="shared" si="9"/>
        <v>98.324082199969837</v>
      </c>
      <c r="H37" s="28">
        <f t="shared" si="9"/>
        <v>133.08002470391824</v>
      </c>
      <c r="I37" s="28">
        <f t="shared" si="9"/>
        <v>0</v>
      </c>
    </row>
    <row r="38" spans="2:9" hidden="1" outlineLevel="1" x14ac:dyDescent="0.25">
      <c r="B38" t="s">
        <v>684</v>
      </c>
      <c r="C38" s="28">
        <f>C28</f>
        <v>6247.8200905906506</v>
      </c>
      <c r="D38" s="28">
        <f t="shared" ref="D38:I38" si="10">D28</f>
        <v>0</v>
      </c>
      <c r="E38" s="28">
        <f t="shared" si="10"/>
        <v>0</v>
      </c>
      <c r="F38" s="28">
        <f t="shared" si="10"/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</row>
    <row r="39" spans="2:9" hidden="1" outlineLevel="1" x14ac:dyDescent="0.25">
      <c r="C39" s="28">
        <f>SUM(C33:C38)</f>
        <v>28154.170395289038</v>
      </c>
      <c r="D39" s="28">
        <f t="shared" ref="D39:I39" si="11">SUM(D33:D38)</f>
        <v>5721.8845982666026</v>
      </c>
      <c r="E39" s="28">
        <f t="shared" si="11"/>
        <v>2533.4848304803113</v>
      </c>
      <c r="F39" s="28">
        <f t="shared" si="11"/>
        <v>1043.0060437283878</v>
      </c>
      <c r="G39" s="28">
        <f t="shared" si="11"/>
        <v>1485.6656193211766</v>
      </c>
      <c r="H39" s="28">
        <f t="shared" si="11"/>
        <v>314.14275900352584</v>
      </c>
      <c r="I39" s="28">
        <f t="shared" si="11"/>
        <v>0</v>
      </c>
    </row>
    <row r="40" spans="2:9" collapsed="1" x14ac:dyDescent="0.25"/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V47"/>
  <sheetViews>
    <sheetView zoomScaleNormal="100" workbookViewId="0"/>
  </sheetViews>
  <sheetFormatPr defaultRowHeight="15" outlineLevelCol="1" x14ac:dyDescent="0.25"/>
  <cols>
    <col min="1" max="1" width="3.7109375" customWidth="1"/>
    <col min="2" max="2" width="46.42578125" customWidth="1"/>
    <col min="3" max="3" width="9" customWidth="1"/>
    <col min="4" max="4" width="7.85546875" customWidth="1"/>
    <col min="5" max="7" width="8.5703125" customWidth="1"/>
    <col min="9" max="11" width="7.85546875" customWidth="1"/>
    <col min="12" max="12" width="8.140625" customWidth="1"/>
    <col min="13" max="13" width="8.42578125" customWidth="1"/>
    <col min="14" max="15" width="9.140625" hidden="1" customWidth="1" outlineLevel="1"/>
    <col min="16" max="16" width="8.85546875" collapsed="1"/>
  </cols>
  <sheetData>
    <row r="1" spans="2:17" x14ac:dyDescent="0.25">
      <c r="B1" s="22" t="s">
        <v>218</v>
      </c>
    </row>
    <row r="2" spans="2:17" x14ac:dyDescent="0.25">
      <c r="H2" s="434" t="s">
        <v>658</v>
      </c>
      <c r="N2" s="181"/>
    </row>
    <row r="3" spans="2:17" x14ac:dyDescent="0.25">
      <c r="B3" s="25" t="s">
        <v>591</v>
      </c>
      <c r="H3" s="434" t="s">
        <v>525</v>
      </c>
      <c r="L3" s="434" t="s">
        <v>526</v>
      </c>
      <c r="M3" s="434" t="s">
        <v>552</v>
      </c>
      <c r="N3" s="181"/>
      <c r="P3" s="46"/>
      <c r="Q3" s="46"/>
    </row>
    <row r="4" spans="2:17" x14ac:dyDescent="0.25">
      <c r="B4" s="189"/>
      <c r="C4" s="50">
        <v>2016</v>
      </c>
      <c r="D4" s="50">
        <v>2017</v>
      </c>
      <c r="E4" s="50">
        <v>2018</v>
      </c>
      <c r="F4" s="50">
        <v>2019</v>
      </c>
      <c r="G4" s="50">
        <v>2020</v>
      </c>
      <c r="H4" s="645" t="s">
        <v>6</v>
      </c>
      <c r="I4" s="50">
        <v>2021</v>
      </c>
      <c r="J4" s="50">
        <v>2022</v>
      </c>
      <c r="K4" s="50">
        <v>2023</v>
      </c>
      <c r="L4" s="434" t="s">
        <v>6</v>
      </c>
      <c r="M4" s="434" t="s">
        <v>6</v>
      </c>
      <c r="N4" s="301" t="s">
        <v>525</v>
      </c>
      <c r="O4" s="494" t="s">
        <v>72</v>
      </c>
      <c r="P4" s="717"/>
      <c r="Q4" s="482"/>
    </row>
    <row r="5" spans="2:17" x14ac:dyDescent="0.25">
      <c r="B5" s="46" t="s">
        <v>210</v>
      </c>
      <c r="C5" s="38">
        <f>SUM(Direct_Capex_Composition!AX107:AX112)/Thousands</f>
        <v>0</v>
      </c>
      <c r="D5" s="38">
        <f>SUM(Direct_Capex_Composition!AY107:AY112)/Thousands</f>
        <v>0</v>
      </c>
      <c r="E5" s="38">
        <f>SUM(Direct_Capex_Composition!AZ107:AZ112)/Thousands</f>
        <v>0.2262962962962963</v>
      </c>
      <c r="F5" s="38">
        <f>SUM(Direct_Capex_Composition!BA107:BA112)/Thousands</f>
        <v>8.8803995061739869</v>
      </c>
      <c r="G5" s="38">
        <f>SUM(Direct_Capex_Composition!BB107:BB112)/Thousands</f>
        <v>30.145658443618753</v>
      </c>
      <c r="H5" s="646">
        <f t="shared" ref="H5:H12" si="0">SUM(C5:G5)</f>
        <v>39.252354246089034</v>
      </c>
      <c r="I5" s="38">
        <f>SUM(Direct_Capex_Composition!BC107:BC112)/Thousands</f>
        <v>33.868093664067516</v>
      </c>
      <c r="J5" s="38">
        <f>SUM(Direct_Capex_Composition!BD107:BD112)/Thousands</f>
        <v>20.287314584495441</v>
      </c>
      <c r="K5" s="38">
        <f>SUM(Direct_Capex_Composition!BE107:BE112)/Thousands</f>
        <v>0</v>
      </c>
      <c r="L5" s="76">
        <f>SUM(I5:K5)</f>
        <v>54.155408248562956</v>
      </c>
      <c r="M5" s="76">
        <f>H5+L5</f>
        <v>93.40776249465199</v>
      </c>
      <c r="N5" s="496">
        <f>SUM(Direct_Capex_Totals!H11,Direct_Capex_Totals!H22,Direct_Capex_Totals!H33,Direct_Capex_Totals!H43,Direct_Capex_Totals!H53,Direct_Capex_Totals!H64,Direct_Capex_Totals!H75,Direct_Capex_Totals!H86)/1000</f>
        <v>39.252354246089041</v>
      </c>
      <c r="O5" s="623">
        <f>H5-N5</f>
        <v>0</v>
      </c>
      <c r="P5" s="38"/>
      <c r="Q5" s="191"/>
    </row>
    <row r="6" spans="2:17" x14ac:dyDescent="0.25">
      <c r="B6" s="46" t="s">
        <v>431</v>
      </c>
      <c r="C6" s="38">
        <f>SUM(Direct_Capex_Composition!AX91:AX95)/Thousands</f>
        <v>0</v>
      </c>
      <c r="D6" s="38">
        <f>SUM(Direct_Capex_Composition!AY91:AY95)/Thousands</f>
        <v>0</v>
      </c>
      <c r="E6" s="38">
        <f>SUM(Direct_Capex_Composition!AZ91:AZ95)/Thousands</f>
        <v>0</v>
      </c>
      <c r="F6" s="38">
        <f>SUM(Direct_Capex_Composition!BA91:BA95)/Thousands</f>
        <v>0</v>
      </c>
      <c r="G6" s="38">
        <f>SUM(Direct_Capex_Composition!BB91:BB95)/Thousands</f>
        <v>0.48841001221823921</v>
      </c>
      <c r="H6" s="646">
        <f t="shared" si="0"/>
        <v>0.48841001221823921</v>
      </c>
      <c r="I6" s="38">
        <f>SUM(Direct_Capex_Composition!BC91:BC95)/Thousands</f>
        <v>2.9272773364400408</v>
      </c>
      <c r="J6" s="38">
        <f>SUM(Direct_Capex_Composition!BD91:BD95)/Thousands</f>
        <v>2.2189373449106125</v>
      </c>
      <c r="K6" s="38">
        <f>SUM(Direct_Capex_Composition!BE91:BE95)/Thousands</f>
        <v>0</v>
      </c>
      <c r="L6" s="76">
        <f t="shared" ref="L6:L12" si="1">SUM(I6:K6)</f>
        <v>5.1462146813506529</v>
      </c>
      <c r="M6" s="76">
        <f t="shared" ref="M6:M12" si="2">H6+L6</f>
        <v>5.6346246935688917</v>
      </c>
      <c r="N6" s="496">
        <f>SUM(Direct_Capex_Totals!H91:H94)/1000</f>
        <v>0.48841001221823915</v>
      </c>
      <c r="O6" s="19">
        <f>H6-N6</f>
        <v>0</v>
      </c>
      <c r="P6" s="38"/>
      <c r="Q6" s="191"/>
    </row>
    <row r="7" spans="2:17" x14ac:dyDescent="0.25">
      <c r="B7" s="46" t="s">
        <v>362</v>
      </c>
      <c r="C7" s="38">
        <f>(Direct_Capex_Composition!AX96+Direct_Capex_Composition!AX101)/Thousands</f>
        <v>0</v>
      </c>
      <c r="D7" s="38">
        <f>(Direct_Capex_Composition!AY96+Direct_Capex_Composition!AY101)/Thousands</f>
        <v>0</v>
      </c>
      <c r="E7" s="38">
        <f>(Direct_Capex_Composition!AZ96+Direct_Capex_Composition!AZ101)/Thousands</f>
        <v>0</v>
      </c>
      <c r="F7" s="38">
        <f>(Direct_Capex_Composition!BA96+Direct_Capex_Composition!BA101)/Thousands</f>
        <v>0</v>
      </c>
      <c r="G7" s="38">
        <f>(Direct_Capex_Composition!BB96+Direct_Capex_Composition!BB101)/Thousands</f>
        <v>0</v>
      </c>
      <c r="H7" s="646">
        <f t="shared" si="0"/>
        <v>0</v>
      </c>
      <c r="I7" s="38">
        <f>(Direct_Capex_Composition!BC96+Direct_Capex_Composition!BC101)/Thousands</f>
        <v>0</v>
      </c>
      <c r="J7" s="38">
        <f>(Direct_Capex_Composition!BD96+Direct_Capex_Composition!BD101)/Thousands</f>
        <v>0</v>
      </c>
      <c r="K7" s="38">
        <f>(Direct_Capex_Composition!BE96+Direct_Capex_Composition!BE101)/Thousands</f>
        <v>0</v>
      </c>
      <c r="L7" s="76">
        <f t="shared" si="1"/>
        <v>0</v>
      </c>
      <c r="M7" s="76">
        <f t="shared" si="2"/>
        <v>0</v>
      </c>
      <c r="N7" s="496">
        <f>Direct_Capex_Totals!H95/1000</f>
        <v>0</v>
      </c>
      <c r="O7" s="19">
        <f t="shared" ref="O7:O12" si="3">H7-N7</f>
        <v>0</v>
      </c>
      <c r="P7" s="38"/>
      <c r="Q7" s="191"/>
    </row>
    <row r="8" spans="2:17" x14ac:dyDescent="0.25">
      <c r="B8" s="46" t="s">
        <v>534</v>
      </c>
      <c r="C8" s="38">
        <f>Direct_Capex_Composition!AX97/Thousands</f>
        <v>0</v>
      </c>
      <c r="D8" s="38">
        <f>Direct_Capex_Composition!AY97/Thousands</f>
        <v>0</v>
      </c>
      <c r="E8" s="38">
        <f>Direct_Capex_Composition!AZ97/Thousands</f>
        <v>0</v>
      </c>
      <c r="F8" s="38">
        <f>Direct_Capex_Composition!BA97/Thousands</f>
        <v>0</v>
      </c>
      <c r="G8" s="38">
        <f>Direct_Capex_Composition!BB97/Thousands</f>
        <v>0</v>
      </c>
      <c r="H8" s="646">
        <f t="shared" si="0"/>
        <v>0</v>
      </c>
      <c r="I8" s="38">
        <f>Direct_Capex_Composition!BC97/Thousands</f>
        <v>0</v>
      </c>
      <c r="J8" s="38">
        <f>Direct_Capex_Composition!BD97/Thousands</f>
        <v>0</v>
      </c>
      <c r="K8" s="38">
        <f>Direct_Capex_Composition!BE97/Thousands</f>
        <v>0</v>
      </c>
      <c r="L8" s="76">
        <f t="shared" si="1"/>
        <v>0</v>
      </c>
      <c r="M8" s="76">
        <f t="shared" si="2"/>
        <v>0</v>
      </c>
      <c r="N8" s="496">
        <f>Direct_Capex_Totals!H96/1000</f>
        <v>0</v>
      </c>
      <c r="O8" s="19">
        <f t="shared" si="3"/>
        <v>0</v>
      </c>
      <c r="P8" s="38"/>
      <c r="Q8" s="191"/>
    </row>
    <row r="9" spans="2:17" x14ac:dyDescent="0.25">
      <c r="B9" s="46" t="s">
        <v>530</v>
      </c>
      <c r="C9" s="38">
        <f>Direct_Capex_Composition!AX98/Thousands</f>
        <v>0</v>
      </c>
      <c r="D9" s="38">
        <f>Direct_Capex_Composition!AY98/Thousands</f>
        <v>0</v>
      </c>
      <c r="E9" s="38">
        <f>Direct_Capex_Composition!AZ98/Thousands</f>
        <v>0</v>
      </c>
      <c r="F9" s="38">
        <f>Direct_Capex_Composition!BA98/Thousands</f>
        <v>4.1655137553629554E-2</v>
      </c>
      <c r="G9" s="38">
        <f>Direct_Capex_Composition!BB98/Thousands</f>
        <v>0</v>
      </c>
      <c r="H9" s="646">
        <f t="shared" si="0"/>
        <v>4.1655137553629554E-2</v>
      </c>
      <c r="I9" s="38">
        <f>Direct_Capex_Composition!BC98/Thousands</f>
        <v>0.13329644017161457</v>
      </c>
      <c r="J9" s="38">
        <f>Direct_Capex_Composition!BD98/Thousands</f>
        <v>8.8864293447743048E-2</v>
      </c>
      <c r="K9" s="38">
        <f>Direct_Capex_Composition!BE98/Thousands</f>
        <v>0</v>
      </c>
      <c r="L9" s="76">
        <f t="shared" si="1"/>
        <v>0.22216073361935762</v>
      </c>
      <c r="M9" s="76">
        <f t="shared" si="2"/>
        <v>0.26381587117298716</v>
      </c>
      <c r="N9" s="496">
        <f>Direct_Capex_Totals!H97/1000</f>
        <v>4.1655137553629554E-2</v>
      </c>
      <c r="O9" s="19">
        <f t="shared" si="3"/>
        <v>0</v>
      </c>
      <c r="P9" s="38"/>
      <c r="Q9" s="191"/>
    </row>
    <row r="10" spans="2:17" x14ac:dyDescent="0.25">
      <c r="B10" s="46" t="s">
        <v>142</v>
      </c>
      <c r="C10" s="38">
        <f>Direct_Capex_Composition!AX99/Thousands</f>
        <v>0</v>
      </c>
      <c r="D10" s="38">
        <f>Direct_Capex_Composition!AY99/Thousands</f>
        <v>0</v>
      </c>
      <c r="E10" s="38">
        <f>Direct_Capex_Composition!AZ99/Thousands</f>
        <v>0</v>
      </c>
      <c r="F10" s="38">
        <f>Direct_Capex_Composition!BA99/Thousands</f>
        <v>0</v>
      </c>
      <c r="G10" s="38">
        <f>Direct_Capex_Composition!BB99/Thousands</f>
        <v>0</v>
      </c>
      <c r="H10" s="646">
        <f t="shared" si="0"/>
        <v>0</v>
      </c>
      <c r="I10" s="38">
        <f>Direct_Capex_Composition!BC99/Thousands</f>
        <v>0</v>
      </c>
      <c r="J10" s="38">
        <f>Direct_Capex_Composition!BD99/Thousands</f>
        <v>0</v>
      </c>
      <c r="K10" s="38">
        <f>Direct_Capex_Composition!BE99/Thousands</f>
        <v>0</v>
      </c>
      <c r="L10" s="76">
        <f t="shared" si="1"/>
        <v>0</v>
      </c>
      <c r="M10" s="76">
        <f t="shared" si="2"/>
        <v>0</v>
      </c>
      <c r="N10" s="496">
        <f>Direct_Capex_Totals!H98/1000</f>
        <v>0</v>
      </c>
      <c r="O10" s="19">
        <f t="shared" si="3"/>
        <v>0</v>
      </c>
      <c r="P10" s="38"/>
      <c r="Q10" s="191"/>
    </row>
    <row r="11" spans="2:17" x14ac:dyDescent="0.25">
      <c r="B11" s="46" t="s">
        <v>656</v>
      </c>
      <c r="C11" s="38">
        <f>Direct_Capex_Composition!AX100/Thousands</f>
        <v>0</v>
      </c>
      <c r="D11" s="38">
        <f>Direct_Capex_Composition!AY100/Thousands</f>
        <v>0</v>
      </c>
      <c r="E11" s="38">
        <f>Direct_Capex_Composition!AZ100/Thousands</f>
        <v>0</v>
      </c>
      <c r="F11" s="38">
        <f>Direct_Capex_Composition!BA100/Thousands</f>
        <v>0.17309210874350453</v>
      </c>
      <c r="G11" s="38">
        <f>Direct_Capex_Composition!BB100/Thousands</f>
        <v>0</v>
      </c>
      <c r="H11" s="646">
        <f t="shared" si="0"/>
        <v>0.17309210874350453</v>
      </c>
      <c r="I11" s="38">
        <f>Direct_Capex_Composition!BC100/Thousands</f>
        <v>0</v>
      </c>
      <c r="J11" s="38">
        <f>Direct_Capex_Composition!BD100/Thousands</f>
        <v>0</v>
      </c>
      <c r="K11" s="38">
        <f>Direct_Capex_Composition!BE100/Thousands</f>
        <v>0</v>
      </c>
      <c r="L11" s="76">
        <f t="shared" si="1"/>
        <v>0</v>
      </c>
      <c r="M11" s="76">
        <f t="shared" si="2"/>
        <v>0.17309210874350453</v>
      </c>
      <c r="N11" s="496">
        <f>Direct_Capex_Totals!H99/1000</f>
        <v>0.17309210874350453</v>
      </c>
      <c r="O11" s="19">
        <f t="shared" si="3"/>
        <v>0</v>
      </c>
      <c r="P11" s="38"/>
      <c r="Q11" s="191"/>
    </row>
    <row r="12" spans="2:17" x14ac:dyDescent="0.25">
      <c r="B12" s="46" t="s">
        <v>524</v>
      </c>
      <c r="C12" s="38">
        <f>(Direct_Capex_Composition!AX102+Direct_Capex_Composition!AX103+Direct_Capex_Composition!AX104)/Thousands</f>
        <v>0</v>
      </c>
      <c r="D12" s="38">
        <f>(Direct_Capex_Composition!AY102+Direct_Capex_Composition!AY103+Direct_Capex_Composition!AY104)/Thousands</f>
        <v>0</v>
      </c>
      <c r="E12" s="38">
        <f>(Direct_Capex_Composition!AZ102+Direct_Capex_Composition!AZ103+Direct_Capex_Composition!AZ104)/Thousands</f>
        <v>0</v>
      </c>
      <c r="F12" s="38">
        <f>(Direct_Capex_Composition!BA102+Direct_Capex_Composition!BA103+Direct_Capex_Composition!BA104)/Thousands</f>
        <v>0</v>
      </c>
      <c r="G12" s="38">
        <f>(Direct_Capex_Composition!BB102+Direct_Capex_Composition!BB103+Direct_Capex_Composition!BB104)/Thousands</f>
        <v>0</v>
      </c>
      <c r="H12" s="646">
        <f t="shared" si="0"/>
        <v>0</v>
      </c>
      <c r="I12" s="38">
        <f>(Direct_Capex_Composition!BC102+Direct_Capex_Composition!BC103+Direct_Capex_Composition!BC104)/Thousands</f>
        <v>2.0314491659325644</v>
      </c>
      <c r="J12" s="38">
        <f>(Direct_Capex_Composition!BD102+Direct_Capex_Composition!BD103+Direct_Capex_Composition!BD104)/Thousands</f>
        <v>2.0314491659325644</v>
      </c>
      <c r="K12" s="38">
        <f>(Direct_Capex_Composition!BE102+Direct_Capex_Composition!BE103+Direct_Capex_Composition!BE104)/Thousands</f>
        <v>0</v>
      </c>
      <c r="L12" s="76">
        <f t="shared" si="1"/>
        <v>4.0628983318651288</v>
      </c>
      <c r="M12" s="76">
        <f t="shared" si="2"/>
        <v>4.0628983318651288</v>
      </c>
      <c r="N12" s="496">
        <f>(Direct_Capex_Totals!H101+Direct_Capex_Totals!H102+Direct_Capex_Totals!H103)/1000</f>
        <v>0</v>
      </c>
      <c r="O12" s="19">
        <f t="shared" si="3"/>
        <v>0</v>
      </c>
      <c r="P12" s="38"/>
      <c r="Q12" s="191"/>
    </row>
    <row r="13" spans="2:17" x14ac:dyDescent="0.25">
      <c r="B13" s="141" t="s">
        <v>222</v>
      </c>
      <c r="C13" s="190">
        <f t="shared" ref="C13:M13" si="4">SUM(C5:C12)</f>
        <v>0</v>
      </c>
      <c r="D13" s="190">
        <f t="shared" si="4"/>
        <v>0</v>
      </c>
      <c r="E13" s="190">
        <f t="shared" si="4"/>
        <v>0.2262962962962963</v>
      </c>
      <c r="F13" s="190">
        <f t="shared" si="4"/>
        <v>9.0951467524711216</v>
      </c>
      <c r="G13" s="190">
        <f t="shared" si="4"/>
        <v>30.634068455836992</v>
      </c>
      <c r="H13" s="158">
        <f t="shared" si="4"/>
        <v>39.955511504604409</v>
      </c>
      <c r="I13" s="190">
        <f t="shared" si="4"/>
        <v>38.960116606611734</v>
      </c>
      <c r="J13" s="190">
        <f t="shared" si="4"/>
        <v>24.626565388786361</v>
      </c>
      <c r="K13" s="190">
        <f t="shared" si="4"/>
        <v>0</v>
      </c>
      <c r="L13" s="158">
        <f t="shared" si="4"/>
        <v>63.586681995398088</v>
      </c>
      <c r="M13" s="158">
        <f t="shared" si="4"/>
        <v>103.5421935000025</v>
      </c>
      <c r="N13" s="262"/>
      <c r="P13" s="38"/>
      <c r="Q13" s="191"/>
    </row>
    <row r="14" spans="2:17" x14ac:dyDescent="0.25">
      <c r="B14" s="46"/>
      <c r="C14" s="46"/>
      <c r="D14" s="46"/>
      <c r="E14" s="46"/>
      <c r="F14" s="46"/>
      <c r="G14" s="46"/>
      <c r="H14" s="141"/>
      <c r="L14" s="25"/>
      <c r="M14" s="25"/>
      <c r="N14" s="161"/>
      <c r="P14" s="38"/>
      <c r="Q14" s="191"/>
    </row>
    <row r="15" spans="2:17" x14ac:dyDescent="0.25">
      <c r="B15" s="46" t="s">
        <v>220</v>
      </c>
      <c r="C15" s="38">
        <f>Direct_Summary!D46/Thousands</f>
        <v>0</v>
      </c>
      <c r="D15" s="38">
        <f>Direct_Summary!E46/Thousands</f>
        <v>0</v>
      </c>
      <c r="E15" s="38">
        <f>Direct_Summary!F46/Thousands</f>
        <v>1.3745530286152872E-3</v>
      </c>
      <c r="F15" s="38">
        <f>Direct_Summary!G46/Thousands</f>
        <v>0.1793919187568454</v>
      </c>
      <c r="G15" s="38">
        <f>Direct_Summary!H46/Thousands</f>
        <v>0.69666550554168338</v>
      </c>
      <c r="H15" s="647">
        <f>SUM(C15:G15)</f>
        <v>0.87743197732714406</v>
      </c>
      <c r="I15" s="426"/>
      <c r="J15" s="426"/>
      <c r="K15" s="426"/>
      <c r="L15" s="76">
        <f>SUM(I15:K15)</f>
        <v>0</v>
      </c>
      <c r="M15" s="76">
        <f>H15+L15</f>
        <v>0.87743197732714406</v>
      </c>
      <c r="N15" s="496">
        <f>Direct_Summary!I46/1000</f>
        <v>0.87743197732714406</v>
      </c>
      <c r="O15" s="19">
        <f>H15-N15</f>
        <v>0</v>
      </c>
      <c r="P15" s="38"/>
      <c r="Q15" s="191"/>
    </row>
    <row r="16" spans="2:17" x14ac:dyDescent="0.25">
      <c r="B16" s="46" t="s">
        <v>219</v>
      </c>
      <c r="C16" s="6">
        <f>Overheads!C76/Thousands</f>
        <v>0</v>
      </c>
      <c r="D16" s="6">
        <f>Overheads!D76/Thousands</f>
        <v>0</v>
      </c>
      <c r="E16" s="47">
        <f>Overheads!E76/Thousands</f>
        <v>6.3053860425994149E-3</v>
      </c>
      <c r="F16" s="6">
        <f>Overheads!F76/Thousands</f>
        <v>0.25353886493081057</v>
      </c>
      <c r="G16" s="6">
        <f>Overheads!G76/Thousands</f>
        <v>0.78651613742806292</v>
      </c>
      <c r="H16" s="646">
        <f>SUM(C16:G16)</f>
        <v>1.0463603884014729</v>
      </c>
      <c r="I16" s="426"/>
      <c r="J16" s="426"/>
      <c r="K16" s="426"/>
      <c r="L16" s="76">
        <f>SUM(I16:K16)</f>
        <v>0</v>
      </c>
      <c r="M16" s="76">
        <f>H16+L16</f>
        <v>1.0463603884014729</v>
      </c>
      <c r="N16" s="496">
        <f>Overheads!H76/1000</f>
        <v>1.0463603884014729</v>
      </c>
      <c r="O16" s="19">
        <f>H16-N16</f>
        <v>0</v>
      </c>
      <c r="P16" s="38"/>
      <c r="Q16" s="191"/>
    </row>
    <row r="17" spans="2:22" x14ac:dyDescent="0.25">
      <c r="H17" s="25"/>
      <c r="L17" s="25"/>
      <c r="M17" s="25"/>
      <c r="N17" s="161"/>
      <c r="P17" s="38"/>
      <c r="Q17" s="191"/>
    </row>
    <row r="18" spans="2:22" ht="15.75" thickBot="1" x14ac:dyDescent="0.3">
      <c r="B18" s="25" t="s">
        <v>221</v>
      </c>
      <c r="C18" s="180">
        <f>C13+C16+C15</f>
        <v>0</v>
      </c>
      <c r="D18" s="180">
        <f t="shared" ref="D18:M18" si="5">D13+D16+D15</f>
        <v>0</v>
      </c>
      <c r="E18" s="180">
        <f t="shared" si="5"/>
        <v>0.233976235367511</v>
      </c>
      <c r="F18" s="180">
        <f t="shared" si="5"/>
        <v>9.5280775361587775</v>
      </c>
      <c r="G18" s="180">
        <f t="shared" si="5"/>
        <v>32.117250098806736</v>
      </c>
      <c r="H18" s="644">
        <f>H13+H16+H15</f>
        <v>41.879303870333025</v>
      </c>
      <c r="I18" s="180">
        <f t="shared" si="5"/>
        <v>38.960116606611734</v>
      </c>
      <c r="J18" s="180">
        <f t="shared" si="5"/>
        <v>24.626565388786361</v>
      </c>
      <c r="K18" s="180">
        <f t="shared" si="5"/>
        <v>0</v>
      </c>
      <c r="L18" s="644">
        <f t="shared" si="5"/>
        <v>63.586681995398088</v>
      </c>
      <c r="M18" s="644">
        <f t="shared" si="5"/>
        <v>105.46598586573111</v>
      </c>
      <c r="N18" s="160"/>
      <c r="P18" s="38"/>
      <c r="Q18" s="191"/>
      <c r="R18" s="191"/>
      <c r="S18" s="191"/>
      <c r="T18" s="191"/>
      <c r="U18" s="191"/>
      <c r="V18" s="191"/>
    </row>
    <row r="19" spans="2:22" x14ac:dyDescent="0.25">
      <c r="B19" s="41" t="s">
        <v>72</v>
      </c>
      <c r="C19" s="192">
        <f>C18-(PTRM_Inputs!C14+PTRM_Inputs!C26)</f>
        <v>0</v>
      </c>
      <c r="D19" s="192">
        <f>D18-(PTRM_Inputs!D14+PTRM_Inputs!D26)</f>
        <v>0</v>
      </c>
      <c r="E19" s="192">
        <f>E18-(PTRM_Inputs!E14+PTRM_Inputs!E26)</f>
        <v>0</v>
      </c>
      <c r="F19" s="192">
        <f>F18-(PTRM_Inputs!F14+PTRM_Inputs!F26)</f>
        <v>0</v>
      </c>
      <c r="G19" s="192">
        <f>G18-(PTRM_Inputs!G14+PTRM_Inputs!G26)</f>
        <v>0</v>
      </c>
      <c r="H19" s="192">
        <f>H18-(PTRM_Inputs!H14+PTRM_Inputs!H26)</f>
        <v>0</v>
      </c>
      <c r="I19" s="324">
        <f>I18-Direct_Summary!J69/Thousands</f>
        <v>0</v>
      </c>
      <c r="J19" s="324">
        <f>J18-Direct_Summary!K69/Thousands</f>
        <v>0</v>
      </c>
      <c r="K19" s="324">
        <f>K18-Direct_Summary!L69/Thousands</f>
        <v>0</v>
      </c>
      <c r="L19" s="19">
        <f>L18-Direct_Summary!M69/Thousands</f>
        <v>0</v>
      </c>
      <c r="N19" s="161"/>
      <c r="Q19" s="46"/>
      <c r="R19" s="207"/>
      <c r="S19" s="207"/>
      <c r="T19" s="207"/>
      <c r="U19" s="207"/>
      <c r="V19" s="207"/>
    </row>
    <row r="20" spans="2:22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Q20" s="191"/>
      <c r="R20" s="191"/>
      <c r="S20" s="191"/>
      <c r="T20" s="191"/>
      <c r="U20" s="191"/>
      <c r="V20" s="191"/>
    </row>
    <row r="21" spans="2:22" x14ac:dyDescent="0.25">
      <c r="E21" s="500"/>
      <c r="F21" s="500"/>
      <c r="G21" s="500"/>
      <c r="H21" s="500"/>
      <c r="I21" s="500"/>
      <c r="J21" s="500"/>
      <c r="K21" s="500"/>
      <c r="L21" s="500"/>
      <c r="M21" s="500"/>
      <c r="Q21" s="46"/>
      <c r="R21" s="46"/>
      <c r="S21" s="46"/>
      <c r="T21" s="46"/>
      <c r="U21" s="46"/>
      <c r="V21" s="46"/>
    </row>
    <row r="22" spans="2:22" x14ac:dyDescent="0.25">
      <c r="Q22" s="46"/>
      <c r="R22" s="46"/>
      <c r="S22" s="46"/>
      <c r="T22" s="46"/>
      <c r="U22" s="46"/>
      <c r="V22" s="46"/>
    </row>
    <row r="23" spans="2:22" x14ac:dyDescent="0.25">
      <c r="B23" s="124" t="s">
        <v>592</v>
      </c>
      <c r="Q23" s="46"/>
      <c r="R23" s="46"/>
      <c r="S23" s="46"/>
      <c r="T23" s="46"/>
      <c r="U23" s="46"/>
      <c r="V23" s="46"/>
    </row>
    <row r="24" spans="2:22" x14ac:dyDescent="0.25">
      <c r="B24" t="s">
        <v>215</v>
      </c>
      <c r="Q24" s="46"/>
      <c r="R24" s="46"/>
      <c r="S24" s="46"/>
      <c r="T24" s="46"/>
      <c r="U24" s="46"/>
      <c r="V24" s="46"/>
    </row>
    <row r="25" spans="2:22" x14ac:dyDescent="0.25">
      <c r="Q25" s="46"/>
      <c r="R25" s="46"/>
      <c r="S25" s="46"/>
      <c r="T25" s="46"/>
      <c r="U25" s="46"/>
      <c r="V25" s="46"/>
    </row>
    <row r="26" spans="2:22" x14ac:dyDescent="0.25">
      <c r="B26" t="s">
        <v>209</v>
      </c>
      <c r="C26" s="171" t="str">
        <f>STN_1</f>
        <v>BN</v>
      </c>
      <c r="D26" s="440" t="str">
        <f>STN_2</f>
        <v>KLO</v>
      </c>
      <c r="E26" s="440" t="str">
        <f>STN_3</f>
        <v>LLG</v>
      </c>
      <c r="F26" s="440" t="str">
        <f>STN_4</f>
        <v>MSD</v>
      </c>
      <c r="G26" s="440" t="str">
        <f>STN_5</f>
        <v>SLE</v>
      </c>
      <c r="H26" s="663" t="str">
        <f>STN_9</f>
        <v>KLO2</v>
      </c>
      <c r="I26" s="482" t="s">
        <v>434</v>
      </c>
      <c r="J26" s="482" t="s">
        <v>434</v>
      </c>
      <c r="K26" s="482" t="s">
        <v>434</v>
      </c>
      <c r="L26" s="171" t="s">
        <v>13</v>
      </c>
    </row>
    <row r="27" spans="2:22" x14ac:dyDescent="0.25">
      <c r="B27" t="s">
        <v>194</v>
      </c>
      <c r="C27" s="27">
        <f>SUMIFS(Direct_Capex_Composition!$BG$7:$BG$88,Direct_Capex_Composition!$B$7:$B$88,Other_Tables!C$26,Direct_Capex_Composition!$H$7:$H$88,Other_Tables!$B27)</f>
        <v>8462.3457318309775</v>
      </c>
      <c r="D27" s="27">
        <f>SUMIFS(Direct_Capex_Composition!$BG$7:$BG$88,Direct_Capex_Composition!$B$7:$B$88,Other_Tables!D$26,Direct_Capex_Composition!$H$7:$H$88,Other_Tables!$B27)</f>
        <v>10078.996468699737</v>
      </c>
      <c r="E27" s="27">
        <f>SUMIFS(Direct_Capex_Composition!$BG$7:$BG$88,Direct_Capex_Composition!$B$7:$B$88,Other_Tables!E$26,Direct_Capex_Composition!$H$7:$H$88,Other_Tables!$B27)</f>
        <v>5924.4218618680743</v>
      </c>
      <c r="F27" s="27">
        <f>SUMIFS(Direct_Capex_Composition!$BG$7:$BG$88,Direct_Capex_Composition!$B$7:$B$88,Other_Tables!F$26,Direct_Capex_Composition!$H$7:$H$88,Other_Tables!$B27)</f>
        <v>5473.8656702696335</v>
      </c>
      <c r="G27" s="27">
        <f>SUMIFS(Direct_Capex_Composition!$BG$7:$BG$88,Direct_Capex_Composition!$B$7:$B$88,Other_Tables!G$26,Direct_Capex_Composition!$H$7:$H$88,Other_Tables!$B27)</f>
        <v>6024.018906726993</v>
      </c>
      <c r="H27" s="27">
        <f>SUMIFS(Direct_Capex_Composition!$BG$7:$BG$88,Direct_Capex_Composition!$B$7:$B$88,Other_Tables!H$26,Direct_Capex_Composition!$H$7:$H$88,Other_Tables!$B27)</f>
        <v>12646.393937689601</v>
      </c>
      <c r="I27" s="140">
        <v>0</v>
      </c>
      <c r="J27" s="140">
        <v>0</v>
      </c>
      <c r="K27" s="27">
        <f>SUMIFS(Direct_Capex_Composition!$BG$7:$BG$88,Direct_Capex_Composition!$B$7:$B$88,Other_Tables!K$26,Direct_Capex_Composition!$H$7:$H$88,Other_Tables!$B27)</f>
        <v>0</v>
      </c>
      <c r="L27" s="28">
        <f>SUM(C27:K27)</f>
        <v>48610.042577085012</v>
      </c>
    </row>
    <row r="28" spans="2:22" x14ac:dyDescent="0.25">
      <c r="B28" t="s">
        <v>197</v>
      </c>
      <c r="C28" s="27">
        <f>SUMIFS(Direct_Capex_Composition!$BG$7:$BG$88,Direct_Capex_Composition!$B$7:$B$88,Other_Tables!C$26,Direct_Capex_Composition!$H$7:$H$88,Other_Tables!$B28)</f>
        <v>0</v>
      </c>
      <c r="D28" s="27">
        <f>SUMIFS(Direct_Capex_Composition!$BG$7:$BG$88,Direct_Capex_Composition!$B$7:$B$88,Other_Tables!D$26,Direct_Capex_Composition!$H$7:$H$88,Other_Tables!$B28)</f>
        <v>0</v>
      </c>
      <c r="E28" s="27">
        <f>SUMIFS(Direct_Capex_Composition!$BG$7:$BG$88,Direct_Capex_Composition!$B$7:$B$88,Other_Tables!E$26,Direct_Capex_Composition!$H$7:$H$88,Other_Tables!$B28)</f>
        <v>0</v>
      </c>
      <c r="F28" s="27">
        <f>SUMIFS(Direct_Capex_Composition!$BG$7:$BG$88,Direct_Capex_Composition!$B$7:$B$88,Other_Tables!F$26,Direct_Capex_Composition!$H$7:$H$88,Other_Tables!$B28)</f>
        <v>0</v>
      </c>
      <c r="G28" s="27">
        <f>SUMIFS(Direct_Capex_Composition!$BG$7:$BG$88,Direct_Capex_Composition!$B$7:$B$88,Other_Tables!G$26,Direct_Capex_Composition!$H$7:$H$88,Other_Tables!$B28)</f>
        <v>0</v>
      </c>
      <c r="H28" s="27">
        <f>SUMIFS(Direct_Capex_Composition!$BG$7:$BG$88,Direct_Capex_Composition!$B$7:$B$88,Other_Tables!H$26,Direct_Capex_Composition!$H$7:$H$88,Other_Tables!$B28)</f>
        <v>0</v>
      </c>
      <c r="I28" s="140">
        <v>0</v>
      </c>
      <c r="J28" s="140">
        <v>0</v>
      </c>
      <c r="K28" s="27">
        <f>SUMIFS(Direct_Capex_Composition!$BG$7:$BG$88,Direct_Capex_Composition!$B$7:$B$88,Other_Tables!K$26,Direct_Capex_Composition!$H$7:$H$88,Other_Tables!$B28)</f>
        <v>0</v>
      </c>
      <c r="L28" s="28">
        <f t="shared" ref="L28:L33" si="6">SUM(C28:K28)</f>
        <v>0</v>
      </c>
    </row>
    <row r="29" spans="2:22" x14ac:dyDescent="0.25">
      <c r="B29" t="s">
        <v>192</v>
      </c>
      <c r="C29" s="27">
        <f>SUMIFS(Direct_Capex_Composition!$BG$7:$BG$88,Direct_Capex_Composition!$B$7:$B$88,Other_Tables!C$26,Direct_Capex_Composition!$H$7:$H$88,Other_Tables!$B29)</f>
        <v>3970.5813373445799</v>
      </c>
      <c r="D29" s="27">
        <f>SUMIFS(Direct_Capex_Composition!$BG$7:$BG$88,Direct_Capex_Composition!$B$7:$B$88,Other_Tables!D$26,Direct_Capex_Composition!$H$7:$H$88,Other_Tables!$B29)</f>
        <v>1690.4476844971614</v>
      </c>
      <c r="E29" s="27">
        <f>SUMIFS(Direct_Capex_Composition!$BG$7:$BG$88,Direct_Capex_Composition!$B$7:$B$88,Other_Tables!E$26,Direct_Capex_Composition!$H$7:$H$88,Other_Tables!$B29)</f>
        <v>1998.203915649337</v>
      </c>
      <c r="F29" s="27">
        <f>SUMIFS(Direct_Capex_Composition!$BG$7:$BG$88,Direct_Capex_Composition!$B$7:$B$88,Other_Tables!F$26,Direct_Capex_Composition!$H$7:$H$88,Other_Tables!$B29)</f>
        <v>1769.1881500526792</v>
      </c>
      <c r="G29" s="27">
        <f>SUMIFS(Direct_Capex_Composition!$BG$7:$BG$88,Direct_Capex_Composition!$B$7:$B$88,Other_Tables!G$26,Direct_Capex_Composition!$H$7:$H$88,Other_Tables!$B29)</f>
        <v>2597.5193656504543</v>
      </c>
      <c r="H29" s="27">
        <f>SUMIFS(Direct_Capex_Composition!$BG$7:$BG$88,Direct_Capex_Composition!$B$7:$B$88,Other_Tables!H$26,Direct_Capex_Composition!$H$7:$H$88,Other_Tables!$B29)</f>
        <v>0</v>
      </c>
      <c r="I29" s="140">
        <v>0</v>
      </c>
      <c r="J29" s="140">
        <v>0</v>
      </c>
      <c r="K29" s="27">
        <f>SUMIFS(Direct_Capex_Composition!$BG$7:$BG$88,Direct_Capex_Composition!$B$7:$B$88,Other_Tables!K$26,Direct_Capex_Composition!$H$7:$H$88,Other_Tables!$B29)</f>
        <v>0</v>
      </c>
      <c r="L29" s="28">
        <f t="shared" si="6"/>
        <v>12025.940453194213</v>
      </c>
    </row>
    <row r="30" spans="2:22" x14ac:dyDescent="0.25">
      <c r="B30" t="s">
        <v>193</v>
      </c>
      <c r="C30" s="27">
        <f>SUMIFS(Direct_Capex_Composition!$BG$7:$BG$88,Direct_Capex_Composition!$B$7:$B$88,Other_Tables!C$26,Direct_Capex_Composition!$H$7:$H$88,Other_Tables!$B30)</f>
        <v>4166.5846009226816</v>
      </c>
      <c r="D30" s="27">
        <f>SUMIFS(Direct_Capex_Composition!$BG$7:$BG$88,Direct_Capex_Composition!$B$7:$B$88,Other_Tables!D$26,Direct_Capex_Composition!$H$7:$H$88,Other_Tables!$B30)</f>
        <v>854.60111799943013</v>
      </c>
      <c r="E30" s="27">
        <f>SUMIFS(Direct_Capex_Composition!$BG$7:$BG$88,Direct_Capex_Composition!$B$7:$B$88,Other_Tables!E$26,Direct_Capex_Composition!$H$7:$H$88,Other_Tables!$B30)</f>
        <v>1277.1573419640717</v>
      </c>
      <c r="F30" s="27">
        <f>SUMIFS(Direct_Capex_Composition!$BG$7:$BG$88,Direct_Capex_Composition!$B$7:$B$88,Other_Tables!F$26,Direct_Capex_Composition!$H$7:$H$88,Other_Tables!$B30)</f>
        <v>1546.196154238349</v>
      </c>
      <c r="G30" s="27">
        <f>SUMIFS(Direct_Capex_Composition!$BG$7:$BG$88,Direct_Capex_Composition!$B$7:$B$88,Other_Tables!G$26,Direct_Capex_Composition!$H$7:$H$88,Other_Tables!$B30)</f>
        <v>4181.1277285811047</v>
      </c>
      <c r="H30" s="27">
        <f>SUMIFS(Direct_Capex_Composition!$BG$7:$BG$88,Direct_Capex_Composition!$B$7:$B$88,Other_Tables!H$26,Direct_Capex_Composition!$H$7:$H$88,Other_Tables!$B30)</f>
        <v>0</v>
      </c>
      <c r="I30" s="140">
        <v>0</v>
      </c>
      <c r="J30" s="140">
        <v>0</v>
      </c>
      <c r="K30" s="27">
        <f>SUMIFS(Direct_Capex_Composition!$BG$7:$BG$88,Direct_Capex_Composition!$B$7:$B$88,Other_Tables!K$26,Direct_Capex_Composition!$H$7:$H$88,Other_Tables!$B30)</f>
        <v>0</v>
      </c>
      <c r="L30" s="28">
        <f t="shared" si="6"/>
        <v>12025.666943705637</v>
      </c>
    </row>
    <row r="31" spans="2:22" x14ac:dyDescent="0.25">
      <c r="B31" t="s">
        <v>196</v>
      </c>
      <c r="C31" s="27">
        <f>SUMIFS(Direct_Capex_Composition!$BG$7:$BG$88,Direct_Capex_Composition!$B$7:$B$88,Other_Tables!C$26,Direct_Capex_Composition!$H$7:$H$88,Other_Tables!$B31)</f>
        <v>2947.9306451540956</v>
      </c>
      <c r="D31" s="27">
        <f>SUMIFS(Direct_Capex_Composition!$BG$7:$BG$88,Direct_Capex_Composition!$B$7:$B$88,Other_Tables!D$26,Direct_Capex_Composition!$H$7:$H$88,Other_Tables!$B31)</f>
        <v>3756.2361641848447</v>
      </c>
      <c r="E31" s="27">
        <f>SUMIFS(Direct_Capex_Composition!$BG$7:$BG$88,Direct_Capex_Composition!$B$7:$B$88,Other_Tables!E$26,Direct_Capex_Composition!$H$7:$H$88,Other_Tables!$B31)</f>
        <v>2600.9611288048391</v>
      </c>
      <c r="F31" s="27">
        <f>SUMIFS(Direct_Capex_Composition!$BG$7:$BG$88,Direct_Capex_Composition!$B$7:$B$88,Other_Tables!F$26,Direct_Capex_Composition!$H$7:$H$88,Other_Tables!$B31)</f>
        <v>2583.3320864339889</v>
      </c>
      <c r="G31" s="27">
        <f>SUMIFS(Direct_Capex_Composition!$BG$7:$BG$88,Direct_Capex_Composition!$B$7:$B$88,Other_Tables!G$26,Direct_Capex_Composition!$H$7:$H$88,Other_Tables!$B31)</f>
        <v>3083.8710665438571</v>
      </c>
      <c r="H31" s="27">
        <f>SUMIFS(Direct_Capex_Composition!$BG$7:$BG$88,Direct_Capex_Composition!$B$7:$B$88,Other_Tables!H$26,Direct_Capex_Composition!$H$7:$H$88,Other_Tables!$B31)</f>
        <v>2231.7165772393414</v>
      </c>
      <c r="I31" s="140">
        <v>0</v>
      </c>
      <c r="J31" s="140">
        <v>0</v>
      </c>
      <c r="K31" s="27">
        <f>SUMIFS(Direct_Capex_Composition!$BG$7:$BG$88,Direct_Capex_Composition!$B$7:$B$88,Other_Tables!K$26,Direct_Capex_Composition!$H$7:$H$88,Other_Tables!$B31)</f>
        <v>0</v>
      </c>
      <c r="L31" s="28">
        <f t="shared" si="6"/>
        <v>17204.047668360967</v>
      </c>
      <c r="P31" s="15"/>
    </row>
    <row r="32" spans="2:22" x14ac:dyDescent="0.25">
      <c r="B32" t="s">
        <v>195</v>
      </c>
      <c r="C32" s="27">
        <f>SUMIFS(Direct_Capex_Composition!$BG$7:$BG$88,Direct_Capex_Composition!$B$7:$B$88,Other_Tables!C$26,Direct_Capex_Composition!$H$7:$H$88,Other_Tables!$B32)</f>
        <v>0</v>
      </c>
      <c r="D32" s="27">
        <f>SUMIFS(Direct_Capex_Composition!$BG$7:$BG$88,Direct_Capex_Composition!$B$7:$B$88,Other_Tables!D$26,Direct_Capex_Composition!$H$7:$H$88,Other_Tables!$B32)</f>
        <v>0</v>
      </c>
      <c r="E32" s="27">
        <f>SUMIFS(Direct_Capex_Composition!$BG$7:$BG$88,Direct_Capex_Composition!$B$7:$B$88,Other_Tables!E$26,Direct_Capex_Composition!$H$7:$H$88,Other_Tables!$B32)</f>
        <v>0</v>
      </c>
      <c r="F32" s="27">
        <f>SUMIFS(Direct_Capex_Composition!$BG$7:$BG$88,Direct_Capex_Composition!$B$7:$B$88,Other_Tables!F$26,Direct_Capex_Composition!$H$7:$H$88,Other_Tables!$B32)</f>
        <v>0</v>
      </c>
      <c r="G32" s="27">
        <f>SUMIFS(Direct_Capex_Composition!$BG$7:$BG$88,Direct_Capex_Composition!$B$7:$B$88,Other_Tables!G$26,Direct_Capex_Composition!$H$7:$H$88,Other_Tables!$B32)</f>
        <v>0</v>
      </c>
      <c r="H32" s="27">
        <f>SUMIFS(Direct_Capex_Composition!$BG$7:$BG$88,Direct_Capex_Composition!$B$7:$B$88,Other_Tables!H$26,Direct_Capex_Composition!$H$7:$H$88,Other_Tables!$B32)</f>
        <v>0</v>
      </c>
      <c r="I32" s="140">
        <v>0</v>
      </c>
      <c r="J32" s="140">
        <v>0</v>
      </c>
      <c r="K32" s="27">
        <f>SUMIFS(Direct_Capex_Composition!$BG$7:$BG$88,Direct_Capex_Composition!$B$7:$B$88,Other_Tables!K$26,Direct_Capex_Composition!$H$7:$H$88,Other_Tables!$B32)</f>
        <v>0</v>
      </c>
      <c r="L32" s="28">
        <f t="shared" si="6"/>
        <v>0</v>
      </c>
    </row>
    <row r="33" spans="2:13" x14ac:dyDescent="0.25">
      <c r="B33" t="s">
        <v>214</v>
      </c>
      <c r="C33" s="27">
        <f>SUMIFS(Direct_Capex_Composition!$BG$7:$BG$88,Direct_Capex_Composition!$B$7:$B$88,Other_Tables!C$26,Direct_Capex_Composition!$H$7:$H$88,Other_Tables!$B33)</f>
        <v>0</v>
      </c>
      <c r="D33" s="27">
        <f>SUMIFS(Direct_Capex_Composition!$BG$7:$BG$88,Direct_Capex_Composition!$B$7:$B$88,Other_Tables!D$26,Direct_Capex_Composition!$H$7:$H$88,Other_Tables!$B33)</f>
        <v>1655.339188589355</v>
      </c>
      <c r="E33" s="27">
        <f>SUMIFS(Direct_Capex_Composition!$BG$7:$BG$88,Direct_Capex_Composition!$B$7:$B$88,Other_Tables!E$26,Direct_Capex_Composition!$H$7:$H$88,Other_Tables!$B33)</f>
        <v>0</v>
      </c>
      <c r="F33" s="27">
        <f>SUMIFS(Direct_Capex_Composition!$BG$7:$BG$88,Direct_Capex_Composition!$B$7:$B$88,Other_Tables!F$26,Direct_Capex_Composition!$H$7:$H$88,Other_Tables!$B33)</f>
        <v>0</v>
      </c>
      <c r="G33" s="27">
        <f>SUMIFS(Direct_Capex_Composition!$BG$7:$BG$88,Direct_Capex_Composition!$B$7:$B$88,Other_Tables!G$26,Direct_Capex_Composition!$H$7:$H$88,Other_Tables!$B33)</f>
        <v>0</v>
      </c>
      <c r="H33" s="27">
        <f>SUMIFS(Direct_Capex_Composition!$BG$7:$BG$88,Direct_Capex_Composition!$B$7:$B$88,Other_Tables!H$26,Direct_Capex_Composition!$H$7:$H$88,Other_Tables!$B33)</f>
        <v>1886.7256637168136</v>
      </c>
      <c r="I33" s="140">
        <v>0</v>
      </c>
      <c r="J33" s="140">
        <v>0</v>
      </c>
      <c r="K33" s="27">
        <f>SUMIFS(Direct_Capex_Composition!$BG$7:$BG$88,Direct_Capex_Composition!$B$7:$B$88,Other_Tables!K$26,Direct_Capex_Composition!$H$7:$H$88,Other_Tables!$B33)</f>
        <v>0</v>
      </c>
      <c r="L33" s="28">
        <f t="shared" si="6"/>
        <v>3542.0648523061686</v>
      </c>
    </row>
    <row r="34" spans="2:13" x14ac:dyDescent="0.25">
      <c r="B34" s="25" t="s">
        <v>154</v>
      </c>
      <c r="C34" s="36">
        <f t="shared" ref="C34:J34" si="7">SUM(C27:C33)</f>
        <v>19547.442315252334</v>
      </c>
      <c r="D34" s="36">
        <f t="shared" si="7"/>
        <v>18035.620623970528</v>
      </c>
      <c r="E34" s="36">
        <f t="shared" si="7"/>
        <v>11800.744248286323</v>
      </c>
      <c r="F34" s="36">
        <f t="shared" si="7"/>
        <v>11372.582060994651</v>
      </c>
      <c r="G34" s="36">
        <f t="shared" si="7"/>
        <v>15886.53706750241</v>
      </c>
      <c r="H34" s="470">
        <f t="shared" si="7"/>
        <v>16764.836178645757</v>
      </c>
      <c r="I34" s="470">
        <f t="shared" si="7"/>
        <v>0</v>
      </c>
      <c r="J34" s="470">
        <f t="shared" si="7"/>
        <v>0</v>
      </c>
      <c r="K34" s="36">
        <f>SUM(K27:K33)</f>
        <v>0</v>
      </c>
      <c r="L34" s="36">
        <f>SUM(L27:L33)</f>
        <v>93407.762494651994</v>
      </c>
      <c r="M34" s="19">
        <f>L34/Thousands-M5</f>
        <v>0</v>
      </c>
    </row>
    <row r="35" spans="2:13" x14ac:dyDescent="0.25">
      <c r="C35" s="28"/>
      <c r="D35" s="28"/>
      <c r="E35" s="28"/>
      <c r="F35" s="28"/>
      <c r="G35" s="28"/>
      <c r="H35" s="372"/>
      <c r="I35" s="372"/>
      <c r="J35" s="372"/>
      <c r="K35" s="28"/>
    </row>
    <row r="36" spans="2:13" x14ac:dyDescent="0.25">
      <c r="B36" t="s">
        <v>203</v>
      </c>
      <c r="C36" s="27">
        <f t="array" ref="C36:K36">TRANSPOSE(Direct_Capex_Composition!$BG$107:$BG$112)</f>
        <v>19547.442315252338</v>
      </c>
      <c r="D36" s="27">
        <v>18035.620623970528</v>
      </c>
      <c r="E36" s="27">
        <v>11800.744248286321</v>
      </c>
      <c r="F36" s="27">
        <v>11372.58206099465</v>
      </c>
      <c r="G36" s="27">
        <v>15886.53706750241</v>
      </c>
      <c r="H36" s="140">
        <v>16764.836178645754</v>
      </c>
      <c r="I36" s="140" t="e">
        <v>#N/A</v>
      </c>
      <c r="J36" s="140" t="e">
        <v>#N/A</v>
      </c>
      <c r="K36" s="27" t="e">
        <v>#N/A</v>
      </c>
      <c r="L36" s="27">
        <f>Direct_Capex_Composition!BG114-Direct_Capex_Composition!BG113</f>
        <v>93407.762494652008</v>
      </c>
    </row>
    <row r="37" spans="2:13" x14ac:dyDescent="0.25">
      <c r="B37" s="41" t="s">
        <v>72</v>
      </c>
      <c r="C37" s="183">
        <f t="shared" ref="C37:J37" si="8">C34-C36</f>
        <v>0</v>
      </c>
      <c r="D37" s="183">
        <f t="shared" si="8"/>
        <v>0</v>
      </c>
      <c r="E37" s="183">
        <f t="shared" si="8"/>
        <v>0</v>
      </c>
      <c r="F37" s="183">
        <f t="shared" si="8"/>
        <v>0</v>
      </c>
      <c r="G37" s="183">
        <f t="shared" si="8"/>
        <v>0</v>
      </c>
      <c r="H37" s="469">
        <f>H34-H36</f>
        <v>0</v>
      </c>
      <c r="I37" s="469" t="e">
        <f>I34-I36</f>
        <v>#N/A</v>
      </c>
      <c r="J37" s="469" t="e">
        <f t="shared" si="8"/>
        <v>#N/A</v>
      </c>
      <c r="K37" s="183" t="e">
        <f>K34-K36</f>
        <v>#N/A</v>
      </c>
      <c r="L37" s="183">
        <f>L34-L36</f>
        <v>0</v>
      </c>
    </row>
    <row r="38" spans="2:13" x14ac:dyDescent="0.25">
      <c r="C38" s="28"/>
      <c r="D38" s="28"/>
      <c r="E38" s="28"/>
      <c r="F38" s="28"/>
      <c r="G38" s="28"/>
      <c r="H38" s="28"/>
      <c r="I38" s="28"/>
      <c r="J38" s="28"/>
      <c r="K38" s="28"/>
    </row>
    <row r="39" spans="2:13" x14ac:dyDescent="0.25">
      <c r="B39" t="s">
        <v>209</v>
      </c>
      <c r="C39" s="444" t="str">
        <f>STN_1</f>
        <v>BN</v>
      </c>
      <c r="D39" s="444" t="str">
        <f>STN_2</f>
        <v>KLO</v>
      </c>
      <c r="E39" s="444" t="str">
        <f>STN_3</f>
        <v>LLG</v>
      </c>
      <c r="F39" s="444" t="str">
        <f>STN_4</f>
        <v>MSD</v>
      </c>
      <c r="G39" s="444" t="str">
        <f>STN_5</f>
        <v>SLE</v>
      </c>
      <c r="H39" s="663" t="str">
        <f>STN_9</f>
        <v>KLO2</v>
      </c>
      <c r="I39" s="482" t="s">
        <v>434</v>
      </c>
      <c r="J39" s="482" t="s">
        <v>434</v>
      </c>
      <c r="K39" s="482" t="s">
        <v>434</v>
      </c>
      <c r="L39" s="171" t="s">
        <v>204</v>
      </c>
    </row>
    <row r="40" spans="2:13" x14ac:dyDescent="0.25">
      <c r="B40" t="s">
        <v>194</v>
      </c>
      <c r="C40" s="15">
        <f>IF(ISERR(C27/C$34),0,C27/C$34)</f>
        <v>0.43291319628185015</v>
      </c>
      <c r="D40" s="15">
        <f t="shared" ref="D40:J40" si="9">IF(ISERR(D27/D$34),0,D27/D$34)</f>
        <v>0.558838349887671</v>
      </c>
      <c r="E40" s="15">
        <f t="shared" si="9"/>
        <v>0.50203798482696593</v>
      </c>
      <c r="F40" s="15">
        <f t="shared" si="9"/>
        <v>0.48132127259329588</v>
      </c>
      <c r="G40" s="15">
        <f t="shared" si="9"/>
        <v>0.37919018355798634</v>
      </c>
      <c r="H40" s="373">
        <f t="shared" ref="H40:I46" si="10">IF(ISERR(H27/H$34),0,H27/H$34)</f>
        <v>0.75434044227631469</v>
      </c>
      <c r="I40" s="373">
        <f t="shared" si="10"/>
        <v>0</v>
      </c>
      <c r="J40" s="373">
        <f t="shared" si="9"/>
        <v>0</v>
      </c>
      <c r="K40" s="15">
        <f t="shared" ref="K40:K46" si="11">IF(ISERR(K27/K$34),0,K27/K$34)</f>
        <v>0</v>
      </c>
      <c r="L40" s="16">
        <f>AVERAGEIFS(C40:K40,C$39:K$39,"&lt;&gt;[spare]")</f>
        <v>0.51810690490401401</v>
      </c>
    </row>
    <row r="41" spans="2:13" x14ac:dyDescent="0.25">
      <c r="B41" t="s">
        <v>197</v>
      </c>
      <c r="C41" s="15">
        <f t="shared" ref="C41:J41" si="12">IF(ISERR(C28/C$34),0,C28/C$34)</f>
        <v>0</v>
      </c>
      <c r="D41" s="15">
        <f t="shared" si="12"/>
        <v>0</v>
      </c>
      <c r="E41" s="15">
        <f t="shared" si="12"/>
        <v>0</v>
      </c>
      <c r="F41" s="15">
        <f t="shared" si="12"/>
        <v>0</v>
      </c>
      <c r="G41" s="423">
        <f t="shared" si="12"/>
        <v>0</v>
      </c>
      <c r="H41" s="423">
        <f t="shared" si="10"/>
        <v>0</v>
      </c>
      <c r="I41" s="373">
        <f t="shared" si="10"/>
        <v>0</v>
      </c>
      <c r="J41" s="373">
        <f t="shared" si="12"/>
        <v>0</v>
      </c>
      <c r="K41" s="15">
        <f t="shared" si="11"/>
        <v>0</v>
      </c>
      <c r="L41" s="381">
        <f t="shared" ref="L41:L46" si="13">AVERAGEIFS(C41:K41,C$39:K$39,"&lt;&gt;[spare]")</f>
        <v>0</v>
      </c>
    </row>
    <row r="42" spans="2:13" x14ac:dyDescent="0.25">
      <c r="B42" t="s">
        <v>192</v>
      </c>
      <c r="C42" s="15">
        <f t="shared" ref="C42:J42" si="14">IF(ISERR(C29/C$34),0,C29/C$34)</f>
        <v>0.20312536409156937</v>
      </c>
      <c r="D42" s="15">
        <f t="shared" si="14"/>
        <v>9.3728279150563032E-2</v>
      </c>
      <c r="E42" s="15">
        <f t="shared" si="14"/>
        <v>0.16932863500872089</v>
      </c>
      <c r="F42" s="15">
        <f t="shared" si="14"/>
        <v>0.15556609225275136</v>
      </c>
      <c r="G42" s="15">
        <f t="shared" si="14"/>
        <v>0.1635044411890087</v>
      </c>
      <c r="H42" s="373">
        <f t="shared" si="10"/>
        <v>0</v>
      </c>
      <c r="I42" s="373">
        <f t="shared" si="10"/>
        <v>0</v>
      </c>
      <c r="J42" s="373">
        <f t="shared" si="14"/>
        <v>0</v>
      </c>
      <c r="K42" s="15">
        <f t="shared" si="11"/>
        <v>0</v>
      </c>
      <c r="L42" s="16">
        <f t="shared" si="13"/>
        <v>0.13087546861543556</v>
      </c>
    </row>
    <row r="43" spans="2:13" x14ac:dyDescent="0.25">
      <c r="B43" t="s">
        <v>193</v>
      </c>
      <c r="C43" s="15">
        <f t="shared" ref="C43:J43" si="15">IF(ISERR(C30/C$34),0,C30/C$34)</f>
        <v>0.21315241829216755</v>
      </c>
      <c r="D43" s="15">
        <f t="shared" si="15"/>
        <v>4.738407043579132E-2</v>
      </c>
      <c r="E43" s="15">
        <f t="shared" si="15"/>
        <v>0.10822684697615895</v>
      </c>
      <c r="F43" s="15">
        <f t="shared" si="15"/>
        <v>0.13595823234737933</v>
      </c>
      <c r="G43" s="15">
        <f t="shared" si="15"/>
        <v>0.2631868550594354</v>
      </c>
      <c r="H43" s="373">
        <f t="shared" si="10"/>
        <v>0</v>
      </c>
      <c r="I43" s="373">
        <f t="shared" si="10"/>
        <v>0</v>
      </c>
      <c r="J43" s="373">
        <f t="shared" si="15"/>
        <v>0</v>
      </c>
      <c r="K43" s="15">
        <f t="shared" si="11"/>
        <v>0</v>
      </c>
      <c r="L43" s="16">
        <f t="shared" si="13"/>
        <v>0.12798473718515543</v>
      </c>
    </row>
    <row r="44" spans="2:13" x14ac:dyDescent="0.25">
      <c r="B44" t="s">
        <v>196</v>
      </c>
      <c r="C44" s="15">
        <f t="shared" ref="C44:J44" si="16">IF(ISERR(C31/C$34),0,C31/C$34)</f>
        <v>0.15080902133441296</v>
      </c>
      <c r="D44" s="15">
        <f t="shared" si="16"/>
        <v>0.2082676411585504</v>
      </c>
      <c r="E44" s="15">
        <f t="shared" si="16"/>
        <v>0.2204065331881542</v>
      </c>
      <c r="F44" s="15">
        <f t="shared" si="16"/>
        <v>0.22715440280657334</v>
      </c>
      <c r="G44" s="15">
        <f t="shared" si="16"/>
        <v>0.19411852019356951</v>
      </c>
      <c r="H44" s="373">
        <f t="shared" si="10"/>
        <v>0.13311890157817316</v>
      </c>
      <c r="I44" s="373">
        <f t="shared" si="10"/>
        <v>0</v>
      </c>
      <c r="J44" s="373">
        <f t="shared" si="16"/>
        <v>0</v>
      </c>
      <c r="K44" s="15">
        <f t="shared" si="11"/>
        <v>0</v>
      </c>
      <c r="L44" s="16">
        <f t="shared" si="13"/>
        <v>0.18897917004323891</v>
      </c>
    </row>
    <row r="45" spans="2:13" x14ac:dyDescent="0.25">
      <c r="B45" t="s">
        <v>195</v>
      </c>
      <c r="C45" s="187">
        <f t="shared" ref="C45:J45" si="17">IF(ISERR(C32/C$34),0,C32/C$34)</f>
        <v>0</v>
      </c>
      <c r="D45" s="187">
        <f t="shared" si="17"/>
        <v>0</v>
      </c>
      <c r="E45" s="187">
        <f t="shared" si="17"/>
        <v>0</v>
      </c>
      <c r="F45" s="187">
        <f t="shared" si="17"/>
        <v>0</v>
      </c>
      <c r="G45" s="187">
        <f t="shared" si="17"/>
        <v>0</v>
      </c>
      <c r="H45" s="611">
        <f t="shared" si="10"/>
        <v>0</v>
      </c>
      <c r="I45" s="611">
        <f t="shared" si="10"/>
        <v>0</v>
      </c>
      <c r="J45" s="611">
        <f t="shared" si="17"/>
        <v>0</v>
      </c>
      <c r="K45" s="187">
        <f t="shared" si="11"/>
        <v>0</v>
      </c>
      <c r="L45" s="188">
        <f t="shared" si="13"/>
        <v>0</v>
      </c>
    </row>
    <row r="46" spans="2:13" x14ac:dyDescent="0.25">
      <c r="B46" t="s">
        <v>214</v>
      </c>
      <c r="C46" s="184">
        <f t="shared" ref="C46:J46" si="18">IF(ISERR(C33/C$34),0,C33/C$34)</f>
        <v>0</v>
      </c>
      <c r="D46" s="184">
        <f t="shared" si="18"/>
        <v>9.1781659367424273E-2</v>
      </c>
      <c r="E46" s="184">
        <f t="shared" si="18"/>
        <v>0</v>
      </c>
      <c r="F46" s="427">
        <f t="shared" si="18"/>
        <v>0</v>
      </c>
      <c r="G46" s="184">
        <f t="shared" si="18"/>
        <v>0</v>
      </c>
      <c r="H46" s="612">
        <f t="shared" si="10"/>
        <v>0.11254065614551212</v>
      </c>
      <c r="I46" s="612">
        <f t="shared" si="10"/>
        <v>0</v>
      </c>
      <c r="J46" s="612">
        <f t="shared" si="18"/>
        <v>0</v>
      </c>
      <c r="K46" s="184">
        <f t="shared" si="11"/>
        <v>0</v>
      </c>
      <c r="L46" s="185">
        <f t="shared" si="13"/>
        <v>3.4053719252156063E-2</v>
      </c>
    </row>
    <row r="47" spans="2:13" x14ac:dyDescent="0.25">
      <c r="B47" s="25" t="s">
        <v>6</v>
      </c>
      <c r="C47" s="16">
        <f t="shared" ref="C47:L47" si="19">SUM(C40:C46)</f>
        <v>1</v>
      </c>
      <c r="D47" s="16">
        <f t="shared" si="19"/>
        <v>1</v>
      </c>
      <c r="E47" s="16">
        <f t="shared" si="19"/>
        <v>0.99999999999999989</v>
      </c>
      <c r="F47" s="16">
        <f t="shared" si="19"/>
        <v>1</v>
      </c>
      <c r="G47" s="16">
        <f t="shared" si="19"/>
        <v>1</v>
      </c>
      <c r="H47" s="381">
        <f t="shared" si="19"/>
        <v>1</v>
      </c>
      <c r="I47" s="381">
        <f t="shared" si="19"/>
        <v>0</v>
      </c>
      <c r="J47" s="381">
        <f t="shared" si="19"/>
        <v>0</v>
      </c>
      <c r="K47" s="381">
        <f t="shared" si="19"/>
        <v>0</v>
      </c>
      <c r="L47" s="16">
        <f t="shared" si="19"/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65"/>
  <sheetViews>
    <sheetView zoomScaleNormal="100" workbookViewId="0">
      <selection activeCell="B2" sqref="B2"/>
    </sheetView>
  </sheetViews>
  <sheetFormatPr defaultRowHeight="15" outlineLevelCol="1" x14ac:dyDescent="0.25"/>
  <cols>
    <col min="1" max="1" width="3.7109375" customWidth="1"/>
    <col min="2" max="2" width="44.42578125" customWidth="1"/>
    <col min="3" max="7" width="8" customWidth="1"/>
    <col min="8" max="8" width="9.42578125" customWidth="1"/>
    <col min="9" max="13" width="8" hidden="1" customWidth="1" outlineLevel="1"/>
    <col min="14" max="14" width="8.28515625" hidden="1" customWidth="1" outlineLevel="1"/>
    <col min="15" max="15" width="8.28515625" customWidth="1" collapsed="1"/>
    <col min="16" max="16" width="8.28515625" customWidth="1"/>
    <col min="17" max="17" width="39.42578125" customWidth="1"/>
    <col min="18" max="23" width="9.140625" customWidth="1"/>
    <col min="24" max="26" width="9.140625" customWidth="1" outlineLevel="1"/>
  </cols>
  <sheetData>
    <row r="1" spans="2:28" ht="15.75" x14ac:dyDescent="0.25">
      <c r="B1" s="123" t="s">
        <v>71</v>
      </c>
    </row>
    <row r="2" spans="2:28" x14ac:dyDescent="0.25">
      <c r="B2" s="22"/>
    </row>
    <row r="3" spans="2:28" x14ac:dyDescent="0.25">
      <c r="B3" s="25" t="s">
        <v>25</v>
      </c>
      <c r="Q3" s="25" t="s">
        <v>29</v>
      </c>
    </row>
    <row r="4" spans="2:28" x14ac:dyDescent="0.25">
      <c r="B4" t="s">
        <v>74</v>
      </c>
      <c r="Q4" t="s">
        <v>75</v>
      </c>
    </row>
    <row r="5" spans="2:28" x14ac:dyDescent="0.25">
      <c r="B5" s="25" t="s">
        <v>626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  <c r="H5" s="4" t="s">
        <v>6</v>
      </c>
      <c r="I5" s="621">
        <v>2021</v>
      </c>
      <c r="J5" s="621">
        <v>2022</v>
      </c>
      <c r="K5" s="621">
        <v>2023</v>
      </c>
      <c r="L5" s="621">
        <v>2024</v>
      </c>
      <c r="M5" s="621">
        <v>2025</v>
      </c>
      <c r="N5" s="621" t="s">
        <v>6</v>
      </c>
      <c r="R5" s="4">
        <v>2016</v>
      </c>
      <c r="S5" s="4">
        <v>2017</v>
      </c>
      <c r="T5" s="4">
        <v>2018</v>
      </c>
      <c r="U5" s="4">
        <v>2019</v>
      </c>
      <c r="V5" s="4">
        <v>2020</v>
      </c>
      <c r="W5" s="4" t="s">
        <v>6</v>
      </c>
      <c r="X5" s="621">
        <v>2021</v>
      </c>
      <c r="Y5" s="621">
        <v>2022</v>
      </c>
      <c r="Z5" s="621">
        <v>2023</v>
      </c>
      <c r="AA5" s="675">
        <v>2024</v>
      </c>
      <c r="AB5" s="675">
        <v>2025</v>
      </c>
    </row>
    <row r="6" spans="2:28" x14ac:dyDescent="0.25">
      <c r="B6" t="s">
        <v>18</v>
      </c>
      <c r="C6" s="38">
        <f>Direct_Summary!D55/Thousands</f>
        <v>0</v>
      </c>
      <c r="D6" s="38">
        <f>Direct_Summary!E55/Thousands</f>
        <v>0</v>
      </c>
      <c r="E6" s="38">
        <f>Direct_Summary!F55/Thousands</f>
        <v>0</v>
      </c>
      <c r="F6" s="38">
        <f>Direct_Summary!G55/Thousands</f>
        <v>4.2720348059689011</v>
      </c>
      <c r="G6" s="38">
        <f>Direct_Summary!H55/Thousands</f>
        <v>14.17889148720332</v>
      </c>
      <c r="H6" s="14">
        <f t="shared" ref="H6:H13" si="0">SUM(C6:G6)</f>
        <v>18.45092629317222</v>
      </c>
      <c r="I6" s="38">
        <f>Direct_Summary!J55/Thousands</f>
        <v>19.820544400332579</v>
      </c>
      <c r="J6" s="38">
        <f>Direct_Summary!K55/Thousands</f>
        <v>10.855646235114282</v>
      </c>
      <c r="K6" s="38">
        <f>Direct_Summary!L55/Thousands</f>
        <v>0</v>
      </c>
      <c r="L6" s="38"/>
      <c r="M6" s="38"/>
      <c r="N6" s="191">
        <f>SUM(I6:M6)</f>
        <v>30.676190635446861</v>
      </c>
      <c r="O6" s="14"/>
      <c r="P6" s="14"/>
      <c r="Q6" t="s">
        <v>627</v>
      </c>
      <c r="R6" s="6">
        <f>Opex_Inputs!C17/Thousands</f>
        <v>0</v>
      </c>
      <c r="S6" s="6">
        <f>Opex_Inputs!D17/Thousands</f>
        <v>0</v>
      </c>
      <c r="T6" s="6">
        <f>Opex_Inputs!E17/Thousands</f>
        <v>0</v>
      </c>
      <c r="U6" s="6">
        <f>Opex_Inputs!F17/Thousands</f>
        <v>0</v>
      </c>
      <c r="V6" s="47">
        <f>Opex_Inputs!G17/Thousands</f>
        <v>3.3369620256769414E-2</v>
      </c>
      <c r="W6" s="11">
        <f>SUM(R6:V6)</f>
        <v>3.3369620256769414E-2</v>
      </c>
      <c r="X6" s="6">
        <f>Opex_Inputs!H17/Thousands</f>
        <v>0.39193019684847102</v>
      </c>
      <c r="Y6" s="6">
        <f>Opex_Inputs!I17/Thousands</f>
        <v>0.43603101657107379</v>
      </c>
      <c r="Z6" s="6">
        <f>Opex_Inputs!J17/Thousands</f>
        <v>0.82485072349379851</v>
      </c>
      <c r="AA6" s="6">
        <f>Opex_Inputs!K17/Thousands</f>
        <v>0.82485072349379851</v>
      </c>
      <c r="AB6" s="6">
        <f>Opex_Inputs!L17/Thousands</f>
        <v>0.82697253851455188</v>
      </c>
    </row>
    <row r="7" spans="2:28" x14ac:dyDescent="0.25">
      <c r="B7" t="s">
        <v>19</v>
      </c>
      <c r="C7" s="38">
        <f>Direct_Summary!D59/Thousands</f>
        <v>0</v>
      </c>
      <c r="D7" s="38">
        <f>Direct_Summary!E59/Thousands</f>
        <v>0</v>
      </c>
      <c r="E7" s="38">
        <f>Direct_Summary!F59/Thousands</f>
        <v>0.22767084932491158</v>
      </c>
      <c r="F7" s="38">
        <f>Direct_Summary!G59/Thousands</f>
        <v>3.019608160633541</v>
      </c>
      <c r="G7" s="38">
        <f>Direct_Summary!H59/Thousands</f>
        <v>8.6035529377300719</v>
      </c>
      <c r="H7" s="14">
        <f t="shared" si="0"/>
        <v>11.850831947688524</v>
      </c>
      <c r="I7" s="38">
        <f>Direct_Summary!J59/Thousands</f>
        <v>12.105171185496728</v>
      </c>
      <c r="J7" s="38">
        <f>Direct_Summary!K59/Thousands</f>
        <v>10.164278875987538</v>
      </c>
      <c r="K7" s="38">
        <f>Direct_Summary!L59/Thousands</f>
        <v>0</v>
      </c>
      <c r="L7" s="38"/>
      <c r="M7" s="38"/>
      <c r="N7" s="191">
        <f t="shared" ref="N7:N14" si="1">SUM(I7:M7)</f>
        <v>22.269450061484264</v>
      </c>
      <c r="O7" s="14"/>
      <c r="P7" s="14"/>
      <c r="Q7" t="s">
        <v>28</v>
      </c>
      <c r="R7" s="47">
        <f>Escalators!D41*Opex_Inputs!C17/Thousands*(Escalators!D38-1)</f>
        <v>0</v>
      </c>
      <c r="S7" s="47">
        <f>Escalators!E41*Opex_Inputs!D17/Thousands*(Escalators!E38-1)</f>
        <v>0</v>
      </c>
      <c r="T7" s="47">
        <f>Escalators!F41*Opex_Inputs!E17/Thousands*(Escalators!F38-1)</f>
        <v>0</v>
      </c>
      <c r="U7" s="47">
        <f>Escalators!G41*Opex_Inputs!F17/Thousands*(Escalators!G38-1)</f>
        <v>0</v>
      </c>
      <c r="V7" s="47">
        <f>Escalators!H41*Opex_Inputs!G17/Thousands*(Escalators!H38-1)</f>
        <v>7.413183402509557E-4</v>
      </c>
      <c r="W7" s="11">
        <f>SUM(R7:V7)</f>
        <v>7.413183402509557E-4</v>
      </c>
      <c r="X7" s="35"/>
    </row>
    <row r="8" spans="2:28" x14ac:dyDescent="0.25">
      <c r="B8" t="s">
        <v>20</v>
      </c>
      <c r="C8" s="38"/>
      <c r="D8" s="38"/>
      <c r="E8" s="38"/>
      <c r="F8" s="38"/>
      <c r="G8" s="38"/>
      <c r="H8" s="14">
        <f t="shared" si="0"/>
        <v>0</v>
      </c>
      <c r="I8" s="38"/>
      <c r="J8" s="38"/>
      <c r="K8" s="38"/>
      <c r="L8" s="38"/>
      <c r="M8" s="38"/>
      <c r="N8" s="191">
        <f t="shared" si="1"/>
        <v>0</v>
      </c>
      <c r="O8" s="14"/>
      <c r="P8" s="14"/>
      <c r="Q8" s="25" t="s">
        <v>628</v>
      </c>
      <c r="R8" s="122">
        <f>SUM(R6:R7)</f>
        <v>0</v>
      </c>
      <c r="S8" s="122">
        <f t="shared" ref="S8:Z8" si="2">SUM(S6:S7)</f>
        <v>0</v>
      </c>
      <c r="T8" s="122">
        <f t="shared" si="2"/>
        <v>0</v>
      </c>
      <c r="U8" s="122">
        <f t="shared" si="2"/>
        <v>0</v>
      </c>
      <c r="V8" s="648">
        <f t="shared" si="2"/>
        <v>3.4110938597020371E-2</v>
      </c>
      <c r="W8" s="649">
        <f t="shared" si="2"/>
        <v>3.4110938597020371E-2</v>
      </c>
      <c r="X8" s="624">
        <f t="shared" si="2"/>
        <v>0.39193019684847102</v>
      </c>
      <c r="Y8" s="624">
        <f t="shared" si="2"/>
        <v>0.43603101657107379</v>
      </c>
      <c r="Z8" s="624">
        <f t="shared" si="2"/>
        <v>0.82485072349379851</v>
      </c>
      <c r="AA8" s="624">
        <f>SUM(AA6:AA7)</f>
        <v>0.82485072349379851</v>
      </c>
      <c r="AB8" s="624">
        <f>SUM(AB6:AB7)</f>
        <v>0.82697253851455188</v>
      </c>
    </row>
    <row r="9" spans="2:28" x14ac:dyDescent="0.25">
      <c r="B9" t="s">
        <v>21</v>
      </c>
      <c r="C9" s="365"/>
      <c r="D9" s="365"/>
      <c r="E9" s="365"/>
      <c r="F9" s="365"/>
      <c r="G9" s="365"/>
      <c r="H9" s="14">
        <f t="shared" si="0"/>
        <v>0</v>
      </c>
      <c r="I9" s="38"/>
      <c r="J9" s="38"/>
      <c r="K9" s="38"/>
      <c r="L9" s="38"/>
      <c r="M9" s="365"/>
      <c r="N9" s="191">
        <f t="shared" si="1"/>
        <v>0</v>
      </c>
      <c r="O9" s="14"/>
      <c r="P9" s="14"/>
      <c r="Q9" s="41" t="s">
        <v>72</v>
      </c>
      <c r="R9" s="193">
        <f>R8-(Opex_Inputs!C17/Thousands*Escalators!D42+Opex_Inputs!C17/Thousands*Escalators!D41*Escalators!D38)</f>
        <v>0</v>
      </c>
      <c r="S9" s="193">
        <f>S8-(Opex_Inputs!D17/Thousands*Escalators!E42+Opex_Inputs!D17/Thousands*Escalators!E41*Escalators!E38)</f>
        <v>0</v>
      </c>
      <c r="T9" s="193">
        <f>T8-(Opex_Inputs!E17/Thousands*Escalators!F42+Opex_Inputs!E17/Thousands*Escalators!F41*Escalators!F38)</f>
        <v>0</v>
      </c>
      <c r="U9" s="193">
        <f>U8-(Opex_Inputs!F17/Thousands*Escalators!G42+Opex_Inputs!F17/Thousands*Escalators!G41*Escalators!G38)</f>
        <v>0</v>
      </c>
      <c r="V9" s="193">
        <f>V8-(Opex_Inputs!G17/Thousands*Escalators!H42+Opex_Inputs!G17/Thousands*Escalators!H41*Escalators!H38)</f>
        <v>0</v>
      </c>
      <c r="W9" s="5"/>
      <c r="X9" s="19">
        <f>X8-Opex_Inputs!H17/Thousands</f>
        <v>0</v>
      </c>
      <c r="Y9" s="19">
        <f>Y8-Opex_Inputs!I17/Thousands</f>
        <v>0</v>
      </c>
      <c r="Z9" s="19">
        <f>Z8-Opex_Inputs!J17/Thousands</f>
        <v>0</v>
      </c>
      <c r="AA9" s="19">
        <f>AA8-Opex_Inputs!K17/Thousands</f>
        <v>0</v>
      </c>
      <c r="AB9" s="19">
        <f>AB8-Opex_Inputs!L17/Thousands</f>
        <v>0</v>
      </c>
    </row>
    <row r="10" spans="2:28" x14ac:dyDescent="0.25">
      <c r="B10" t="s">
        <v>22</v>
      </c>
      <c r="C10" s="38">
        <f>Direct_Summary!D63/Thousands</f>
        <v>0</v>
      </c>
      <c r="D10" s="38">
        <f>Direct_Summary!E63/Thousands</f>
        <v>0</v>
      </c>
      <c r="E10" s="38">
        <f>Direct_Summary!F63/Thousands</f>
        <v>0</v>
      </c>
      <c r="F10" s="38">
        <f>Direct_Summary!G63/Thousands</f>
        <v>1.9450841955242653</v>
      </c>
      <c r="G10" s="38">
        <f>Direct_Summary!H63/Thousands</f>
        <v>5.0034959870701847</v>
      </c>
      <c r="H10" s="14">
        <f t="shared" si="0"/>
        <v>6.9485801825944495</v>
      </c>
      <c r="I10" s="38">
        <f>Direct_Summary!J63/Thousands</f>
        <v>6.9747388113247037</v>
      </c>
      <c r="J10" s="38">
        <f>Direct_Summary!K63/Thousands</f>
        <v>3.5626393982094617</v>
      </c>
      <c r="K10" s="38">
        <f>Direct_Summary!L63/Thousands</f>
        <v>0</v>
      </c>
      <c r="L10" s="38"/>
      <c r="M10" s="38"/>
      <c r="N10" s="191">
        <f t="shared" si="1"/>
        <v>10.537378209534165</v>
      </c>
      <c r="O10" s="14"/>
      <c r="P10" s="14"/>
    </row>
    <row r="11" spans="2:28" x14ac:dyDescent="0.25">
      <c r="B11" t="s">
        <v>23</v>
      </c>
      <c r="C11" s="365">
        <f>Direct_Summary!D65/Thousands</f>
        <v>0</v>
      </c>
      <c r="D11" s="365">
        <f>Direct_Summary!E65/Thousands</f>
        <v>0</v>
      </c>
      <c r="E11" s="365">
        <f>Direct_Summary!F65/Thousands</f>
        <v>0</v>
      </c>
      <c r="F11" s="365">
        <f>Direct_Summary!G65/Thousands</f>
        <v>0</v>
      </c>
      <c r="G11" s="365">
        <f>Direct_Summary!H65/Thousands</f>
        <v>0</v>
      </c>
      <c r="H11" s="14">
        <f t="shared" si="0"/>
        <v>0</v>
      </c>
      <c r="I11" s="38">
        <f>Direct_Summary!J65/Thousands</f>
        <v>0</v>
      </c>
      <c r="J11" s="38">
        <f>Direct_Summary!K65/Thousands</f>
        <v>0</v>
      </c>
      <c r="K11" s="38">
        <f>Direct_Summary!L65/Thousands</f>
        <v>0</v>
      </c>
      <c r="L11" s="38"/>
      <c r="M11" s="365"/>
      <c r="N11" s="191">
        <f t="shared" si="1"/>
        <v>0</v>
      </c>
      <c r="O11" s="14"/>
      <c r="P11" s="14"/>
      <c r="R11" s="6"/>
      <c r="S11" s="6"/>
      <c r="T11" s="6"/>
      <c r="U11" s="6"/>
      <c r="V11" s="6"/>
      <c r="W11" s="14"/>
    </row>
    <row r="12" spans="2:28" x14ac:dyDescent="0.25">
      <c r="B12" t="s">
        <v>24</v>
      </c>
      <c r="C12" s="365">
        <f>Direct_Summary!D66/Thousands</f>
        <v>0</v>
      </c>
      <c r="D12" s="365">
        <f>Direct_Summary!E66/Thousands</f>
        <v>0</v>
      </c>
      <c r="E12" s="365">
        <f>Direct_Summary!F66/Thousands</f>
        <v>0</v>
      </c>
      <c r="F12" s="365">
        <f>Direct_Summary!G66/Thousands</f>
        <v>0</v>
      </c>
      <c r="G12" s="365">
        <f>Direct_Summary!H66/Thousands</f>
        <v>0</v>
      </c>
      <c r="H12" s="14">
        <f t="shared" si="0"/>
        <v>0</v>
      </c>
      <c r="I12" s="38">
        <f>Direct_Summary!J66/Thousands</f>
        <v>0</v>
      </c>
      <c r="J12" s="38">
        <f>Direct_Summary!K66/Thousands</f>
        <v>0</v>
      </c>
      <c r="K12" s="38">
        <f>Direct_Summary!L66/Thousands</f>
        <v>0</v>
      </c>
      <c r="L12" s="38"/>
      <c r="M12" s="365"/>
      <c r="N12" s="191">
        <f t="shared" si="1"/>
        <v>0</v>
      </c>
      <c r="O12" s="14"/>
      <c r="P12" s="14"/>
      <c r="R12" s="19"/>
      <c r="S12" s="19"/>
      <c r="T12" s="19"/>
      <c r="U12" s="19"/>
      <c r="V12" s="19"/>
      <c r="W12" s="14"/>
    </row>
    <row r="13" spans="2:28" x14ac:dyDescent="0.25">
      <c r="B13" t="s">
        <v>211</v>
      </c>
      <c r="C13" s="365">
        <f>Direct_Summary!D67/Thousands</f>
        <v>0</v>
      </c>
      <c r="D13" s="365">
        <f>Direct_Summary!E67/Thousands</f>
        <v>0</v>
      </c>
      <c r="E13" s="365">
        <f>Direct_Summary!F67/Thousands</f>
        <v>0</v>
      </c>
      <c r="F13" s="668">
        <f>Direct_Summary!G67/Thousands</f>
        <v>3.7811509101258071E-2</v>
      </c>
      <c r="G13" s="38">
        <f>Direct_Summary!H67/Thousands</f>
        <v>3.5447935493751035</v>
      </c>
      <c r="H13" s="14">
        <f t="shared" si="0"/>
        <v>3.5826050584763616</v>
      </c>
      <c r="I13" s="38">
        <f>Direct_Summary!J67/Thousands</f>
        <v>5.9662209457731992E-2</v>
      </c>
      <c r="J13" s="38">
        <f>Direct_Summary!K67/Thousands</f>
        <v>4.4000879475077345E-2</v>
      </c>
      <c r="K13" s="38">
        <f>Direct_Summary!L67/Thousands</f>
        <v>0</v>
      </c>
      <c r="L13" s="38"/>
      <c r="M13" s="365"/>
      <c r="N13" s="191">
        <f t="shared" si="1"/>
        <v>0.10366308893280934</v>
      </c>
      <c r="O13" s="14"/>
      <c r="P13" s="14"/>
    </row>
    <row r="14" spans="2:28" x14ac:dyDescent="0.25">
      <c r="B14" s="25" t="s">
        <v>144</v>
      </c>
      <c r="C14" s="121">
        <f t="shared" ref="C14:M14" si="3">SUM(C6:C13)</f>
        <v>0</v>
      </c>
      <c r="D14" s="121">
        <f t="shared" si="3"/>
        <v>0</v>
      </c>
      <c r="E14" s="121">
        <f t="shared" si="3"/>
        <v>0.22767084932491158</v>
      </c>
      <c r="F14" s="121">
        <f t="shared" si="3"/>
        <v>9.2745386712279654</v>
      </c>
      <c r="G14" s="121">
        <f t="shared" si="3"/>
        <v>31.33073396137868</v>
      </c>
      <c r="H14" s="121">
        <f t="shared" si="3"/>
        <v>40.832943481931551</v>
      </c>
      <c r="I14" s="625">
        <f t="shared" si="3"/>
        <v>38.960116606611749</v>
      </c>
      <c r="J14" s="625">
        <f t="shared" si="3"/>
        <v>24.626565388786361</v>
      </c>
      <c r="K14" s="625">
        <f t="shared" si="3"/>
        <v>0</v>
      </c>
      <c r="L14" s="625">
        <f t="shared" si="3"/>
        <v>0</v>
      </c>
      <c r="M14" s="625">
        <f t="shared" si="3"/>
        <v>0</v>
      </c>
      <c r="N14" s="626">
        <f t="shared" si="1"/>
        <v>63.586681995398109</v>
      </c>
      <c r="O14" s="14"/>
      <c r="P14" s="14"/>
    </row>
    <row r="15" spans="2:28" x14ac:dyDescent="0.25">
      <c r="B15" s="41" t="s">
        <v>72</v>
      </c>
      <c r="C15" s="197">
        <f>C14-Capex_by_Purpose!C72/Thousands</f>
        <v>0</v>
      </c>
      <c r="D15" s="197">
        <f>D14-Capex_by_Purpose!D72/Thousands</f>
        <v>0</v>
      </c>
      <c r="E15" s="197">
        <f>E14-Capex_by_Purpose!E72/Thousands</f>
        <v>0</v>
      </c>
      <c r="F15" s="197">
        <f>F14-Capex_by_Purpose!F72/Thousands</f>
        <v>0</v>
      </c>
      <c r="G15" s="197">
        <f>G14-Capex_by_Purpose!G72/Thousands</f>
        <v>0</v>
      </c>
      <c r="H15" s="197">
        <f>H14-Direct_Summary!I69/Thousands</f>
        <v>0</v>
      </c>
      <c r="I15" s="197">
        <f>I14-Direct_Summary!J23/Thousands</f>
        <v>0</v>
      </c>
      <c r="J15" s="197">
        <f>J14-Direct_Summary!K23/Thousands</f>
        <v>0</v>
      </c>
      <c r="K15" s="197">
        <f>K14-Direct_Summary!L23/Thousands</f>
        <v>0</v>
      </c>
      <c r="L15" s="197"/>
      <c r="M15" s="197"/>
      <c r="N15" s="19">
        <f>N14-Direct_Summary!M69/Thousands</f>
        <v>0</v>
      </c>
    </row>
    <row r="17" spans="2:28" x14ac:dyDescent="0.25">
      <c r="B17" s="25" t="s">
        <v>642</v>
      </c>
      <c r="C17" s="4">
        <v>2016</v>
      </c>
      <c r="D17" s="4">
        <v>2017</v>
      </c>
      <c r="E17" s="4">
        <v>2018</v>
      </c>
      <c r="F17" s="4">
        <v>2019</v>
      </c>
      <c r="G17" s="4">
        <v>2020</v>
      </c>
      <c r="H17" s="4" t="s">
        <v>6</v>
      </c>
      <c r="I17" s="629">
        <v>2021</v>
      </c>
      <c r="J17" s="629">
        <v>2022</v>
      </c>
      <c r="K17" s="629">
        <v>2023</v>
      </c>
      <c r="L17" s="629">
        <v>2024</v>
      </c>
      <c r="M17" s="629">
        <v>2025</v>
      </c>
      <c r="N17" s="629" t="s">
        <v>6</v>
      </c>
    </row>
    <row r="18" spans="2:28" x14ac:dyDescent="0.25">
      <c r="B18" t="s">
        <v>18</v>
      </c>
      <c r="C18" s="6">
        <f>Overheads!C80/Thousands</f>
        <v>0</v>
      </c>
      <c r="D18" s="6">
        <f>Overheads!D80/Thousands</f>
        <v>0</v>
      </c>
      <c r="E18" s="6">
        <f>Overheads!E80/Thousands</f>
        <v>0</v>
      </c>
      <c r="F18" s="6">
        <f>Overheads!F80/Thousands</f>
        <v>0.11726305612786841</v>
      </c>
      <c r="G18" s="6">
        <f>Overheads!G80/Thousands</f>
        <v>0.40135143170137755</v>
      </c>
      <c r="H18" s="14">
        <f t="shared" ref="H18:H25" si="4">SUM(C18:G18)</f>
        <v>0.51861448782924602</v>
      </c>
      <c r="I18" s="6"/>
      <c r="J18" s="6"/>
      <c r="K18" s="6"/>
      <c r="L18" s="6"/>
      <c r="M18" s="6"/>
      <c r="N18" s="191">
        <f t="shared" ref="N18:N25" si="5">SUM(I18:M18)</f>
        <v>0</v>
      </c>
      <c r="R18" s="11"/>
      <c r="S18" s="11"/>
      <c r="T18" s="11"/>
      <c r="U18" s="11"/>
      <c r="V18" s="11"/>
      <c r="X18" s="11"/>
      <c r="Y18" s="11"/>
      <c r="Z18" s="11"/>
      <c r="AA18" s="11"/>
      <c r="AB18" s="11"/>
    </row>
    <row r="19" spans="2:28" x14ac:dyDescent="0.25">
      <c r="B19" t="s">
        <v>19</v>
      </c>
      <c r="C19" s="6">
        <f>Overheads!C81/Thousands</f>
        <v>0</v>
      </c>
      <c r="D19" s="6">
        <f>Overheads!D81/Thousands</f>
        <v>0</v>
      </c>
      <c r="E19" s="6">
        <f>Overheads!E81/Thousands</f>
        <v>6.3053860425994149E-3</v>
      </c>
      <c r="F19" s="6">
        <f>Overheads!F81/Thousands</f>
        <v>8.2885205132178882E-2</v>
      </c>
      <c r="G19" s="6">
        <f>Overheads!G81/Thousands</f>
        <v>0.24353443232096028</v>
      </c>
      <c r="H19" s="14">
        <f t="shared" si="4"/>
        <v>0.33272502349573857</v>
      </c>
      <c r="I19" s="6"/>
      <c r="J19" s="6"/>
      <c r="K19" s="6"/>
      <c r="L19" s="6"/>
      <c r="M19" s="6"/>
      <c r="N19" s="191">
        <f t="shared" si="5"/>
        <v>0</v>
      </c>
      <c r="R19" s="11"/>
      <c r="S19" s="11"/>
      <c r="T19" s="11"/>
      <c r="U19" s="11"/>
      <c r="V19" s="11"/>
      <c r="X19" s="11"/>
      <c r="Y19" s="11"/>
      <c r="Z19" s="11"/>
      <c r="AA19" s="11"/>
      <c r="AB19" s="11"/>
    </row>
    <row r="20" spans="2:28" x14ac:dyDescent="0.25">
      <c r="B20" t="s">
        <v>20</v>
      </c>
      <c r="C20" s="6"/>
      <c r="D20" s="6"/>
      <c r="E20" s="6"/>
      <c r="F20" s="6"/>
      <c r="G20" s="6"/>
      <c r="H20" s="14">
        <f t="shared" si="4"/>
        <v>0</v>
      </c>
      <c r="I20" s="6"/>
      <c r="J20" s="6"/>
      <c r="K20" s="6"/>
      <c r="L20" s="6"/>
      <c r="M20" s="6"/>
      <c r="N20" s="191">
        <f t="shared" si="5"/>
        <v>0</v>
      </c>
      <c r="R20" s="11"/>
      <c r="S20" s="11"/>
      <c r="T20" s="11"/>
      <c r="U20" s="11"/>
      <c r="V20" s="11"/>
      <c r="X20" s="11"/>
      <c r="Y20" s="11"/>
      <c r="Z20" s="11"/>
      <c r="AA20" s="11"/>
      <c r="AB20" s="11"/>
    </row>
    <row r="21" spans="2:28" x14ac:dyDescent="0.25">
      <c r="B21" t="s">
        <v>21</v>
      </c>
      <c r="C21" s="6"/>
      <c r="D21" s="6"/>
      <c r="E21" s="6"/>
      <c r="F21" s="6"/>
      <c r="G21" s="6"/>
      <c r="H21" s="14">
        <f t="shared" si="4"/>
        <v>0</v>
      </c>
      <c r="I21" s="6"/>
      <c r="J21" s="6"/>
      <c r="K21" s="6"/>
      <c r="L21" s="6"/>
      <c r="M21" s="6"/>
      <c r="N21" s="191">
        <f t="shared" si="5"/>
        <v>0</v>
      </c>
      <c r="R21" s="11"/>
      <c r="S21" s="11"/>
      <c r="T21" s="11"/>
      <c r="U21" s="11"/>
      <c r="V21" s="11"/>
      <c r="X21" s="11"/>
      <c r="Y21" s="11"/>
      <c r="Z21" s="11"/>
      <c r="AA21" s="11"/>
      <c r="AB21" s="11"/>
    </row>
    <row r="22" spans="2:28" x14ac:dyDescent="0.25">
      <c r="B22" t="s">
        <v>22</v>
      </c>
      <c r="C22" s="6">
        <f>Overheads!C82/Thousands</f>
        <v>0</v>
      </c>
      <c r="D22" s="6">
        <f>Overheads!D82/Thousands</f>
        <v>0</v>
      </c>
      <c r="E22" s="6">
        <f>Overheads!E82/Thousands</f>
        <v>0</v>
      </c>
      <c r="F22" s="6">
        <f>Overheads!F82/Thousands</f>
        <v>5.3390603670763266E-2</v>
      </c>
      <c r="G22" s="6">
        <f>Overheads!G82/Thousands</f>
        <v>0.1416302734057252</v>
      </c>
      <c r="H22" s="14">
        <f t="shared" si="4"/>
        <v>0.19502087707648846</v>
      </c>
      <c r="I22" s="6"/>
      <c r="J22" s="6"/>
      <c r="K22" s="6"/>
      <c r="L22" s="6"/>
      <c r="M22" s="6"/>
      <c r="N22" s="191">
        <f t="shared" si="5"/>
        <v>0</v>
      </c>
      <c r="R22" s="11"/>
      <c r="S22" s="11"/>
      <c r="T22" s="11"/>
      <c r="U22" s="11"/>
      <c r="V22" s="11"/>
      <c r="X22" s="11"/>
      <c r="Y22" s="11"/>
      <c r="Z22" s="11"/>
      <c r="AA22" s="11"/>
      <c r="AB22" s="11"/>
    </row>
    <row r="23" spans="2:28" x14ac:dyDescent="0.25">
      <c r="B23" t="s">
        <v>23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4">
        <f t="shared" si="4"/>
        <v>0</v>
      </c>
      <c r="I23" s="6"/>
      <c r="J23" s="6"/>
      <c r="K23" s="6"/>
      <c r="L23" s="6"/>
      <c r="M23" s="6"/>
      <c r="N23" s="191">
        <f t="shared" si="5"/>
        <v>0</v>
      </c>
    </row>
    <row r="24" spans="2:28" x14ac:dyDescent="0.25">
      <c r="B24" t="s">
        <v>24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4">
        <f t="shared" si="4"/>
        <v>0</v>
      </c>
      <c r="I24" s="6"/>
      <c r="J24" s="6"/>
      <c r="K24" s="6"/>
      <c r="L24" s="6"/>
      <c r="M24" s="6"/>
      <c r="N24" s="191">
        <f t="shared" si="5"/>
        <v>0</v>
      </c>
    </row>
    <row r="25" spans="2:28" x14ac:dyDescent="0.25">
      <c r="B25" t="s">
        <v>211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4">
        <f t="shared" si="4"/>
        <v>0</v>
      </c>
      <c r="I25" s="6"/>
      <c r="J25" s="6"/>
      <c r="K25" s="6"/>
      <c r="L25" s="6"/>
      <c r="M25" s="6"/>
      <c r="N25" s="191">
        <f t="shared" si="5"/>
        <v>0</v>
      </c>
    </row>
    <row r="26" spans="2:28" x14ac:dyDescent="0.25">
      <c r="B26" s="25" t="s">
        <v>145</v>
      </c>
      <c r="C26" s="121">
        <f>SUM(C18:C25)</f>
        <v>0</v>
      </c>
      <c r="D26" s="121">
        <f t="shared" ref="D26:N26" si="6">SUM(D18:D25)</f>
        <v>0</v>
      </c>
      <c r="E26" s="121">
        <f t="shared" si="6"/>
        <v>6.3053860425994149E-3</v>
      </c>
      <c r="F26" s="121">
        <f t="shared" si="6"/>
        <v>0.25353886493081057</v>
      </c>
      <c r="G26" s="121">
        <f t="shared" si="6"/>
        <v>0.78651613742806303</v>
      </c>
      <c r="H26" s="121">
        <f t="shared" si="6"/>
        <v>1.0463603884014732</v>
      </c>
      <c r="I26" s="121">
        <f t="shared" si="6"/>
        <v>0</v>
      </c>
      <c r="J26" s="121">
        <f t="shared" si="6"/>
        <v>0</v>
      </c>
      <c r="K26" s="121">
        <f t="shared" si="6"/>
        <v>0</v>
      </c>
      <c r="L26" s="121">
        <f t="shared" si="6"/>
        <v>0</v>
      </c>
      <c r="M26" s="121">
        <f t="shared" si="6"/>
        <v>0</v>
      </c>
      <c r="N26" s="121">
        <f t="shared" si="6"/>
        <v>0</v>
      </c>
      <c r="O26" s="463"/>
      <c r="P26" s="463"/>
    </row>
    <row r="27" spans="2:28" x14ac:dyDescent="0.25">
      <c r="B27" s="41" t="s">
        <v>72</v>
      </c>
      <c r="C27" s="196">
        <f>C26-Overheads!C76/Thousands</f>
        <v>0</v>
      </c>
      <c r="D27" s="196">
        <f>D26-Overheads!D76/Thousands</f>
        <v>0</v>
      </c>
      <c r="E27" s="196">
        <f>E26-Overheads!E76/Thousands</f>
        <v>0</v>
      </c>
      <c r="F27" s="196">
        <f>F26-Overheads!F76/Thousands</f>
        <v>0</v>
      </c>
      <c r="G27" s="196">
        <f>G26-Overheads!G76/Thousands</f>
        <v>0</v>
      </c>
      <c r="H27" s="196">
        <f>H26-Overheads!H76/Thousands</f>
        <v>0</v>
      </c>
      <c r="I27" s="196"/>
      <c r="J27" s="196"/>
      <c r="K27" s="196"/>
      <c r="L27" s="196"/>
      <c r="M27" s="196"/>
    </row>
    <row r="28" spans="2:28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2:28" x14ac:dyDescent="0.25">
      <c r="B29" s="25" t="s">
        <v>643</v>
      </c>
      <c r="C29" s="11"/>
      <c r="D29" s="11"/>
      <c r="E29" s="11"/>
      <c r="F29" s="11"/>
      <c r="G29" s="11"/>
      <c r="I29" s="11"/>
      <c r="J29" s="11"/>
      <c r="K29" s="11"/>
      <c r="L29" s="11"/>
      <c r="M29" s="11"/>
    </row>
    <row r="30" spans="2:28" x14ac:dyDescent="0.25">
      <c r="B30" s="22" t="s">
        <v>26</v>
      </c>
      <c r="C30" s="4">
        <v>2016</v>
      </c>
      <c r="D30" s="4">
        <v>2017</v>
      </c>
      <c r="E30" s="4">
        <v>2018</v>
      </c>
      <c r="F30" s="4">
        <v>2019</v>
      </c>
      <c r="G30" s="4">
        <v>2020</v>
      </c>
      <c r="H30" s="4" t="s">
        <v>6</v>
      </c>
      <c r="I30" s="629">
        <v>2021</v>
      </c>
      <c r="J30" s="629">
        <v>2022</v>
      </c>
      <c r="K30" s="629">
        <v>2023</v>
      </c>
      <c r="L30" s="629">
        <v>2024</v>
      </c>
      <c r="M30" s="629">
        <v>2025</v>
      </c>
      <c r="N30" s="629" t="s">
        <v>6</v>
      </c>
    </row>
    <row r="31" spans="2:28" x14ac:dyDescent="0.25">
      <c r="B31" t="s">
        <v>18</v>
      </c>
      <c r="C31" s="6">
        <f t="shared" ref="C31:G36" si="7">C18+C6</f>
        <v>0</v>
      </c>
      <c r="D31" s="6">
        <f t="shared" si="7"/>
        <v>0</v>
      </c>
      <c r="E31" s="6">
        <f t="shared" si="7"/>
        <v>0</v>
      </c>
      <c r="F31" s="6">
        <f t="shared" si="7"/>
        <v>4.3892978620967691</v>
      </c>
      <c r="G31" s="6">
        <f t="shared" si="7"/>
        <v>14.580242918904696</v>
      </c>
      <c r="H31" s="14">
        <f t="shared" ref="H31:H38" si="8">SUM(C31:G31)</f>
        <v>18.969540781001466</v>
      </c>
      <c r="I31" s="6"/>
      <c r="J31" s="6"/>
      <c r="K31" s="6"/>
      <c r="L31" s="6"/>
      <c r="M31" s="6"/>
      <c r="N31" s="191">
        <f t="shared" ref="N31:N38" si="9">SUM(I31:M31)</f>
        <v>0</v>
      </c>
    </row>
    <row r="32" spans="2:28" x14ac:dyDescent="0.25">
      <c r="B32" t="s">
        <v>19</v>
      </c>
      <c r="C32" s="6">
        <f t="shared" si="7"/>
        <v>0</v>
      </c>
      <c r="D32" s="6">
        <f t="shared" si="7"/>
        <v>0</v>
      </c>
      <c r="E32" s="6">
        <f t="shared" si="7"/>
        <v>0.233976235367511</v>
      </c>
      <c r="F32" s="6">
        <f t="shared" si="7"/>
        <v>3.1024933657657199</v>
      </c>
      <c r="G32" s="6">
        <f t="shared" si="7"/>
        <v>8.8470873700510317</v>
      </c>
      <c r="H32" s="14">
        <f t="shared" si="8"/>
        <v>12.183556971184263</v>
      </c>
      <c r="I32" s="6"/>
      <c r="J32" s="6"/>
      <c r="K32" s="6"/>
      <c r="L32" s="6"/>
      <c r="M32" s="6"/>
      <c r="N32" s="191">
        <f t="shared" si="9"/>
        <v>0</v>
      </c>
    </row>
    <row r="33" spans="2:22" x14ac:dyDescent="0.25">
      <c r="B33" t="s">
        <v>20</v>
      </c>
      <c r="C33" s="6">
        <f t="shared" si="7"/>
        <v>0</v>
      </c>
      <c r="D33" s="6">
        <f t="shared" si="7"/>
        <v>0</v>
      </c>
      <c r="E33" s="6">
        <f t="shared" si="7"/>
        <v>0</v>
      </c>
      <c r="F33" s="6">
        <f t="shared" si="7"/>
        <v>0</v>
      </c>
      <c r="G33" s="6">
        <f t="shared" si="7"/>
        <v>0</v>
      </c>
      <c r="H33" s="14">
        <f t="shared" si="8"/>
        <v>0</v>
      </c>
      <c r="I33" s="6"/>
      <c r="J33" s="6"/>
      <c r="K33" s="6"/>
      <c r="L33" s="6"/>
      <c r="M33" s="6"/>
      <c r="N33" s="191">
        <f t="shared" si="9"/>
        <v>0</v>
      </c>
    </row>
    <row r="34" spans="2:22" x14ac:dyDescent="0.25">
      <c r="B34" t="s">
        <v>21</v>
      </c>
      <c r="C34" s="6">
        <f t="shared" si="7"/>
        <v>0</v>
      </c>
      <c r="D34" s="6">
        <f t="shared" si="7"/>
        <v>0</v>
      </c>
      <c r="E34" s="6">
        <f t="shared" si="7"/>
        <v>0</v>
      </c>
      <c r="F34" s="6">
        <f t="shared" si="7"/>
        <v>0</v>
      </c>
      <c r="G34" s="6">
        <f t="shared" si="7"/>
        <v>0</v>
      </c>
      <c r="H34" s="14">
        <f t="shared" si="8"/>
        <v>0</v>
      </c>
      <c r="I34" s="6"/>
      <c r="J34" s="6"/>
      <c r="K34" s="6"/>
      <c r="L34" s="6"/>
      <c r="M34" s="6"/>
      <c r="N34" s="191">
        <f t="shared" si="9"/>
        <v>0</v>
      </c>
    </row>
    <row r="35" spans="2:22" x14ac:dyDescent="0.25">
      <c r="B35" t="s">
        <v>22</v>
      </c>
      <c r="C35" s="6">
        <f t="shared" si="7"/>
        <v>0</v>
      </c>
      <c r="D35" s="6">
        <f t="shared" si="7"/>
        <v>0</v>
      </c>
      <c r="E35" s="6">
        <f t="shared" si="7"/>
        <v>0</v>
      </c>
      <c r="F35" s="6">
        <f t="shared" si="7"/>
        <v>1.9984747991950285</v>
      </c>
      <c r="G35" s="6">
        <f t="shared" si="7"/>
        <v>5.1451262604759096</v>
      </c>
      <c r="H35" s="14">
        <f t="shared" si="8"/>
        <v>7.1436010596709378</v>
      </c>
      <c r="I35" s="6"/>
      <c r="J35" s="6"/>
      <c r="K35" s="6"/>
      <c r="L35" s="6"/>
      <c r="M35" s="6"/>
      <c r="N35" s="191">
        <f t="shared" si="9"/>
        <v>0</v>
      </c>
    </row>
    <row r="36" spans="2:22" x14ac:dyDescent="0.25">
      <c r="B36" t="s">
        <v>23</v>
      </c>
      <c r="C36" s="6">
        <f t="shared" si="7"/>
        <v>0</v>
      </c>
      <c r="D36" s="6">
        <f t="shared" si="7"/>
        <v>0</v>
      </c>
      <c r="E36" s="6">
        <f t="shared" si="7"/>
        <v>0</v>
      </c>
      <c r="F36" s="6">
        <f t="shared" si="7"/>
        <v>0</v>
      </c>
      <c r="G36" s="6">
        <f t="shared" si="7"/>
        <v>0</v>
      </c>
      <c r="H36" s="14">
        <f t="shared" si="8"/>
        <v>0</v>
      </c>
      <c r="I36" s="6"/>
      <c r="J36" s="6"/>
      <c r="K36" s="6"/>
      <c r="L36" s="6"/>
      <c r="M36" s="6"/>
      <c r="N36" s="191">
        <f t="shared" si="9"/>
        <v>0</v>
      </c>
      <c r="R36" s="19"/>
      <c r="S36" s="19"/>
      <c r="T36" s="19"/>
      <c r="U36" s="19"/>
      <c r="V36" s="19"/>
    </row>
    <row r="37" spans="2:22" x14ac:dyDescent="0.25">
      <c r="B37" t="s">
        <v>24</v>
      </c>
      <c r="C37" s="6">
        <f t="shared" ref="C37:G38" si="10">C24+C12</f>
        <v>0</v>
      </c>
      <c r="D37" s="6">
        <f t="shared" si="10"/>
        <v>0</v>
      </c>
      <c r="E37" s="6">
        <f t="shared" si="10"/>
        <v>0</v>
      </c>
      <c r="F37" s="6">
        <f t="shared" si="10"/>
        <v>0</v>
      </c>
      <c r="G37" s="6">
        <f t="shared" si="10"/>
        <v>0</v>
      </c>
      <c r="H37" s="14">
        <f t="shared" si="8"/>
        <v>0</v>
      </c>
      <c r="I37" s="6"/>
      <c r="J37" s="6"/>
      <c r="K37" s="6"/>
      <c r="L37" s="6"/>
      <c r="M37" s="6"/>
      <c r="N37" s="191">
        <f t="shared" si="9"/>
        <v>0</v>
      </c>
    </row>
    <row r="38" spans="2:22" x14ac:dyDescent="0.25">
      <c r="B38" t="s">
        <v>211</v>
      </c>
      <c r="C38" s="6">
        <f t="shared" si="10"/>
        <v>0</v>
      </c>
      <c r="D38" s="6">
        <f t="shared" si="10"/>
        <v>0</v>
      </c>
      <c r="E38" s="6">
        <f t="shared" si="10"/>
        <v>0</v>
      </c>
      <c r="F38" s="6">
        <f t="shared" si="10"/>
        <v>3.7811509101258071E-2</v>
      </c>
      <c r="G38" s="6">
        <f t="shared" si="10"/>
        <v>3.5447935493751035</v>
      </c>
      <c r="H38" s="14">
        <f t="shared" si="8"/>
        <v>3.5826050584763616</v>
      </c>
      <c r="I38" s="6"/>
      <c r="J38" s="6"/>
      <c r="K38" s="6"/>
      <c r="L38" s="6"/>
      <c r="M38" s="6"/>
      <c r="N38" s="191">
        <f t="shared" si="9"/>
        <v>0</v>
      </c>
    </row>
    <row r="39" spans="2:22" x14ac:dyDescent="0.25">
      <c r="B39" s="25" t="s">
        <v>146</v>
      </c>
      <c r="C39" s="121">
        <f>SUM(C31:C38)</f>
        <v>0</v>
      </c>
      <c r="D39" s="121">
        <f t="shared" ref="D39:N39" si="11">SUM(D31:D38)</f>
        <v>0</v>
      </c>
      <c r="E39" s="121">
        <f t="shared" si="11"/>
        <v>0.233976235367511</v>
      </c>
      <c r="F39" s="121">
        <f t="shared" si="11"/>
        <v>9.5280775361587757</v>
      </c>
      <c r="G39" s="121">
        <f t="shared" si="11"/>
        <v>32.117250098806743</v>
      </c>
      <c r="H39" s="121">
        <f t="shared" si="11"/>
        <v>41.879303870333025</v>
      </c>
      <c r="I39" s="121">
        <f t="shared" si="11"/>
        <v>0</v>
      </c>
      <c r="J39" s="121">
        <f t="shared" si="11"/>
        <v>0</v>
      </c>
      <c r="K39" s="121">
        <f t="shared" si="11"/>
        <v>0</v>
      </c>
      <c r="L39" s="121">
        <f t="shared" si="11"/>
        <v>0</v>
      </c>
      <c r="M39" s="121">
        <f t="shared" si="11"/>
        <v>0</v>
      </c>
      <c r="N39" s="121">
        <f t="shared" si="11"/>
        <v>0</v>
      </c>
      <c r="O39" s="5"/>
      <c r="P39" s="5"/>
    </row>
    <row r="40" spans="2:22" x14ac:dyDescent="0.25">
      <c r="B40" s="41" t="s">
        <v>72</v>
      </c>
      <c r="C40" s="195">
        <f>C39-Capex_by_Purpose!C56/Thousands</f>
        <v>0</v>
      </c>
      <c r="D40" s="195">
        <f>D39-Capex_by_Purpose!D56/Thousands</f>
        <v>0</v>
      </c>
      <c r="E40" s="195">
        <f>E39-Capex_by_Purpose!E56/Thousands</f>
        <v>0</v>
      </c>
      <c r="F40" s="195">
        <f>F39-Capex_by_Purpose!F56/Thousands</f>
        <v>0</v>
      </c>
      <c r="G40" s="195">
        <f>G39-Capex_by_Purpose!G56/Thousands</f>
        <v>0</v>
      </c>
      <c r="H40" s="195">
        <f>H39-Capex_by_Purpose!H56/Thousands</f>
        <v>0</v>
      </c>
      <c r="I40" s="195"/>
      <c r="J40" s="195"/>
      <c r="K40" s="195"/>
      <c r="L40" s="195"/>
      <c r="M40" s="195"/>
      <c r="N40" s="5"/>
      <c r="O40" s="5"/>
      <c r="P40" s="5"/>
    </row>
    <row r="41" spans="2:22" x14ac:dyDescent="0.25">
      <c r="B41" s="41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5"/>
      <c r="O41" s="5"/>
      <c r="P41" s="5"/>
    </row>
    <row r="42" spans="2:22" x14ac:dyDescent="0.25">
      <c r="B42" s="25" t="s">
        <v>452</v>
      </c>
    </row>
    <row r="43" spans="2:22" x14ac:dyDescent="0.25">
      <c r="B43" s="22" t="s">
        <v>644</v>
      </c>
      <c r="C43" s="4">
        <v>2016</v>
      </c>
      <c r="D43" s="4">
        <v>2017</v>
      </c>
      <c r="E43" s="4">
        <v>2018</v>
      </c>
      <c r="F43" s="4">
        <v>2019</v>
      </c>
      <c r="G43" s="4">
        <v>2020</v>
      </c>
      <c r="H43" s="4" t="s">
        <v>6</v>
      </c>
      <c r="I43" s="629">
        <v>2021</v>
      </c>
      <c r="J43" s="629">
        <v>2022</v>
      </c>
      <c r="K43" s="629">
        <v>2023</v>
      </c>
      <c r="L43" s="629">
        <v>2024</v>
      </c>
      <c r="M43" s="629">
        <v>2025</v>
      </c>
      <c r="N43" s="629" t="s">
        <v>6</v>
      </c>
    </row>
    <row r="44" spans="2:22" x14ac:dyDescent="0.25">
      <c r="B44" t="s">
        <v>18</v>
      </c>
      <c r="C44" s="6">
        <v>48.651420843402605</v>
      </c>
      <c r="D44" s="6">
        <v>66.179791973733728</v>
      </c>
      <c r="E44" s="6">
        <v>58.954487107836322</v>
      </c>
      <c r="F44" s="6">
        <v>67.414006980682686</v>
      </c>
      <c r="G44" s="6">
        <v>50.007216467631643</v>
      </c>
      <c r="H44" s="14">
        <f t="shared" ref="H44:H51" si="12">SUM(C44:G44)</f>
        <v>291.20692337328694</v>
      </c>
      <c r="I44" s="6"/>
      <c r="J44" s="6"/>
      <c r="K44" s="6"/>
      <c r="L44" s="6"/>
      <c r="M44" s="6"/>
      <c r="N44" s="191">
        <f t="shared" ref="N44:N51" si="13">SUM(I44:M44)</f>
        <v>0</v>
      </c>
    </row>
    <row r="45" spans="2:22" x14ac:dyDescent="0.25">
      <c r="B45" t="s">
        <v>19</v>
      </c>
      <c r="C45" s="6">
        <v>258.48852640980118</v>
      </c>
      <c r="D45" s="6">
        <v>295.37424082512246</v>
      </c>
      <c r="E45" s="6">
        <v>298.03422915206306</v>
      </c>
      <c r="F45" s="6">
        <v>284.87745328407027</v>
      </c>
      <c r="G45" s="6">
        <v>279.0809026133021</v>
      </c>
      <c r="H45" s="14">
        <f t="shared" si="12"/>
        <v>1415.855352284359</v>
      </c>
      <c r="I45" s="6"/>
      <c r="J45" s="6"/>
      <c r="K45" s="6"/>
      <c r="L45" s="6"/>
      <c r="M45" s="6"/>
      <c r="N45" s="191">
        <f t="shared" si="13"/>
        <v>0</v>
      </c>
    </row>
    <row r="46" spans="2:22" x14ac:dyDescent="0.25">
      <c r="B46" t="s">
        <v>20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4">
        <f t="shared" si="12"/>
        <v>0</v>
      </c>
      <c r="I46" s="6"/>
      <c r="J46" s="6"/>
      <c r="K46" s="6"/>
      <c r="L46" s="6"/>
      <c r="M46" s="6"/>
      <c r="N46" s="191">
        <f t="shared" si="13"/>
        <v>0</v>
      </c>
    </row>
    <row r="47" spans="2:22" x14ac:dyDescent="0.25">
      <c r="B47" t="s">
        <v>21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14">
        <f t="shared" si="12"/>
        <v>0</v>
      </c>
      <c r="I47" s="6"/>
      <c r="J47" s="6"/>
      <c r="K47" s="6"/>
      <c r="L47" s="6"/>
      <c r="M47" s="6"/>
      <c r="N47" s="191">
        <f t="shared" si="13"/>
        <v>0</v>
      </c>
    </row>
    <row r="48" spans="2:22" x14ac:dyDescent="0.25">
      <c r="B48" t="s">
        <v>22</v>
      </c>
      <c r="C48" s="6">
        <v>9.3897360740177618</v>
      </c>
      <c r="D48" s="6">
        <v>18.949761285291714</v>
      </c>
      <c r="E48" s="6">
        <v>13.666491633929128</v>
      </c>
      <c r="F48" s="6">
        <v>26.256443511950181</v>
      </c>
      <c r="G48" s="6">
        <v>10.307237193679041</v>
      </c>
      <c r="H48" s="14">
        <f t="shared" si="12"/>
        <v>78.569669698867827</v>
      </c>
      <c r="I48" s="6"/>
      <c r="J48" s="6"/>
      <c r="K48" s="6"/>
      <c r="L48" s="6"/>
      <c r="M48" s="6"/>
      <c r="N48" s="191">
        <f t="shared" si="13"/>
        <v>0</v>
      </c>
    </row>
    <row r="49" spans="2:16" x14ac:dyDescent="0.25">
      <c r="B49" t="s">
        <v>23</v>
      </c>
      <c r="C49" s="6">
        <v>40.644500479653068</v>
      </c>
      <c r="D49" s="6">
        <v>54.13655604531742</v>
      </c>
      <c r="E49" s="6">
        <v>35.7467063849152</v>
      </c>
      <c r="F49" s="6">
        <v>40.356299247444582</v>
      </c>
      <c r="G49" s="6">
        <v>33.052518502325313</v>
      </c>
      <c r="H49" s="14">
        <f t="shared" si="12"/>
        <v>203.93658065965559</v>
      </c>
      <c r="I49" s="6"/>
      <c r="J49" s="6"/>
      <c r="K49" s="6"/>
      <c r="L49" s="6"/>
      <c r="M49" s="6"/>
      <c r="N49" s="191">
        <f t="shared" si="13"/>
        <v>0</v>
      </c>
    </row>
    <row r="50" spans="2:16" x14ac:dyDescent="0.25">
      <c r="B50" t="s">
        <v>24</v>
      </c>
      <c r="C50" s="6">
        <v>5.2783165798982452</v>
      </c>
      <c r="D50" s="6">
        <v>6.1255858341373424</v>
      </c>
      <c r="E50" s="6">
        <v>6.5733958738108145</v>
      </c>
      <c r="F50" s="6">
        <v>8.6534097061724236</v>
      </c>
      <c r="G50" s="6">
        <v>9.29492960968091</v>
      </c>
      <c r="H50" s="14">
        <f t="shared" si="12"/>
        <v>35.925637603699741</v>
      </c>
      <c r="I50" s="6"/>
      <c r="J50" s="6"/>
      <c r="K50" s="6"/>
      <c r="L50" s="6"/>
      <c r="M50" s="6"/>
      <c r="N50" s="191">
        <f t="shared" si="13"/>
        <v>0</v>
      </c>
    </row>
    <row r="51" spans="2:16" x14ac:dyDescent="0.25">
      <c r="B51" t="s">
        <v>211</v>
      </c>
      <c r="C51" s="6">
        <v>6.1000306154218576E-4</v>
      </c>
      <c r="D51" s="6">
        <v>3.6710736616359665E-2</v>
      </c>
      <c r="E51" s="6">
        <v>1.7558279692917692E-2</v>
      </c>
      <c r="F51" s="6">
        <v>0</v>
      </c>
      <c r="G51" s="6">
        <v>0</v>
      </c>
      <c r="H51" s="14">
        <f t="shared" si="12"/>
        <v>5.4879019370819543E-2</v>
      </c>
      <c r="I51" s="6"/>
      <c r="J51" s="6"/>
      <c r="K51" s="6"/>
      <c r="L51" s="6"/>
      <c r="M51" s="6"/>
      <c r="N51" s="191">
        <f t="shared" si="13"/>
        <v>0</v>
      </c>
    </row>
    <row r="52" spans="2:16" x14ac:dyDescent="0.25">
      <c r="B52" s="25" t="s">
        <v>148</v>
      </c>
      <c r="C52" s="121">
        <f t="shared" ref="C52:N52" si="14">SUM(C44:C51)</f>
        <v>362.45311038983436</v>
      </c>
      <c r="D52" s="121">
        <f t="shared" si="14"/>
        <v>440.80264670021904</v>
      </c>
      <c r="E52" s="121">
        <f t="shared" si="14"/>
        <v>412.99286843224741</v>
      </c>
      <c r="F52" s="121">
        <f t="shared" si="14"/>
        <v>427.5576127303201</v>
      </c>
      <c r="G52" s="121">
        <f t="shared" si="14"/>
        <v>381.74280438661901</v>
      </c>
      <c r="H52" s="121">
        <f t="shared" si="14"/>
        <v>2025.5490426392398</v>
      </c>
      <c r="I52" s="121">
        <f t="shared" si="14"/>
        <v>0</v>
      </c>
      <c r="J52" s="121">
        <f t="shared" si="14"/>
        <v>0</v>
      </c>
      <c r="K52" s="121">
        <f t="shared" si="14"/>
        <v>0</v>
      </c>
      <c r="L52" s="121">
        <f t="shared" si="14"/>
        <v>0</v>
      </c>
      <c r="M52" s="121">
        <f t="shared" si="14"/>
        <v>0</v>
      </c>
      <c r="N52" s="121">
        <f t="shared" si="14"/>
        <v>0</v>
      </c>
      <c r="O52" s="5"/>
      <c r="P52" s="5"/>
    </row>
    <row r="53" spans="2:16" x14ac:dyDescent="0.25">
      <c r="B53" s="41" t="s">
        <v>72</v>
      </c>
      <c r="C53" s="194">
        <f>C52-(Capex_by_Purpose!C27+Capex_by_Purpose!C41)/Thousands</f>
        <v>4.4926000782652409E-5</v>
      </c>
      <c r="D53" s="194">
        <f>D52-(Capex_by_Purpose!D27+Capex_by_Purpose!D41)/Thousands</f>
        <v>1.8931122741605577E-4</v>
      </c>
      <c r="E53" s="194">
        <f>E52-(Capex_by_Purpose!E27+Capex_by_Purpose!E41)/Thousands</f>
        <v>0.14775827534094788</v>
      </c>
      <c r="F53" s="194">
        <f>F52-(Capex_by_Purpose!F27+Capex_by_Purpose!F41)/Thousands</f>
        <v>-5.0533715867061346E-2</v>
      </c>
      <c r="G53" s="194">
        <f>G52-(Capex_by_Purpose!G27+Capex_by_Purpose!G41)/Thousands</f>
        <v>-9.7878248639119647E-2</v>
      </c>
      <c r="H53" s="194">
        <f>H52-(Capex_by_Purpose!H27+Capex_by_Purpose!H41)/Thousands</f>
        <v>-4.1945193697756622E-4</v>
      </c>
      <c r="I53" s="194"/>
      <c r="J53" s="194"/>
      <c r="K53" s="194"/>
      <c r="L53" s="194"/>
      <c r="M53" s="194"/>
    </row>
    <row r="54" spans="2:16" x14ac:dyDescent="0.25">
      <c r="B54" s="53"/>
    </row>
    <row r="55" spans="2:16" x14ac:dyDescent="0.25">
      <c r="B55" s="25" t="s">
        <v>645</v>
      </c>
      <c r="C55" s="4">
        <v>2016</v>
      </c>
      <c r="D55" s="4">
        <v>2017</v>
      </c>
      <c r="E55" s="4">
        <v>2018</v>
      </c>
      <c r="F55" s="4">
        <v>2019</v>
      </c>
      <c r="G55" s="4">
        <v>2020</v>
      </c>
      <c r="H55" s="4" t="s">
        <v>6</v>
      </c>
      <c r="I55" s="629">
        <v>2021</v>
      </c>
      <c r="J55" s="629">
        <v>2022</v>
      </c>
      <c r="K55" s="629">
        <v>2023</v>
      </c>
      <c r="L55" s="629">
        <v>2024</v>
      </c>
      <c r="M55" s="629">
        <v>2025</v>
      </c>
      <c r="N55" s="629" t="s">
        <v>6</v>
      </c>
    </row>
    <row r="56" spans="2:16" x14ac:dyDescent="0.25">
      <c r="B56" t="s">
        <v>18</v>
      </c>
      <c r="C56" s="31">
        <f t="shared" ref="C56:G61" si="15">C44+C31</f>
        <v>48.651420843402605</v>
      </c>
      <c r="D56" s="31">
        <f t="shared" si="15"/>
        <v>66.179791973733728</v>
      </c>
      <c r="E56" s="31">
        <f t="shared" si="15"/>
        <v>58.954487107836322</v>
      </c>
      <c r="F56" s="31">
        <f t="shared" si="15"/>
        <v>71.803304842779454</v>
      </c>
      <c r="G56" s="31">
        <f t="shared" si="15"/>
        <v>64.587459386536338</v>
      </c>
      <c r="H56" s="14">
        <f t="shared" ref="H56:H63" si="16">SUM(C56:G56)</f>
        <v>310.17646415428845</v>
      </c>
      <c r="I56" s="31"/>
      <c r="J56" s="31"/>
      <c r="K56" s="31"/>
      <c r="L56" s="31"/>
      <c r="M56" s="31"/>
      <c r="N56" s="191">
        <f t="shared" ref="N56:N63" si="17">SUM(I56:M56)</f>
        <v>0</v>
      </c>
    </row>
    <row r="57" spans="2:16" x14ac:dyDescent="0.25">
      <c r="B57" t="s">
        <v>19</v>
      </c>
      <c r="C57" s="31">
        <f t="shared" si="15"/>
        <v>258.48852640980118</v>
      </c>
      <c r="D57" s="31">
        <f t="shared" si="15"/>
        <v>295.37424082512246</v>
      </c>
      <c r="E57" s="31">
        <f t="shared" si="15"/>
        <v>298.26820538743056</v>
      </c>
      <c r="F57" s="31">
        <f t="shared" si="15"/>
        <v>287.97994664983599</v>
      </c>
      <c r="G57" s="31">
        <f t="shared" si="15"/>
        <v>287.92798998335314</v>
      </c>
      <c r="H57" s="14">
        <f t="shared" si="16"/>
        <v>1428.0389092555433</v>
      </c>
      <c r="I57" s="31"/>
      <c r="J57" s="31"/>
      <c r="K57" s="31"/>
      <c r="L57" s="31"/>
      <c r="M57" s="31"/>
      <c r="N57" s="191">
        <f t="shared" si="17"/>
        <v>0</v>
      </c>
    </row>
    <row r="58" spans="2:16" x14ac:dyDescent="0.25">
      <c r="B58" t="s">
        <v>20</v>
      </c>
      <c r="C58" s="31">
        <f t="shared" si="15"/>
        <v>0</v>
      </c>
      <c r="D58" s="31">
        <f t="shared" si="15"/>
        <v>0</v>
      </c>
      <c r="E58" s="31">
        <f t="shared" si="15"/>
        <v>0</v>
      </c>
      <c r="F58" s="31">
        <f t="shared" si="15"/>
        <v>0</v>
      </c>
      <c r="G58" s="31">
        <f t="shared" si="15"/>
        <v>0</v>
      </c>
      <c r="H58" s="14">
        <f t="shared" si="16"/>
        <v>0</v>
      </c>
      <c r="I58" s="31"/>
      <c r="J58" s="31"/>
      <c r="K58" s="31"/>
      <c r="L58" s="31"/>
      <c r="M58" s="31"/>
      <c r="N58" s="191">
        <f t="shared" si="17"/>
        <v>0</v>
      </c>
    </row>
    <row r="59" spans="2:16" x14ac:dyDescent="0.25">
      <c r="B59" t="s">
        <v>21</v>
      </c>
      <c r="C59" s="31">
        <f t="shared" si="15"/>
        <v>0</v>
      </c>
      <c r="D59" s="31">
        <f t="shared" si="15"/>
        <v>0</v>
      </c>
      <c r="E59" s="31">
        <f t="shared" si="15"/>
        <v>0</v>
      </c>
      <c r="F59" s="31">
        <f t="shared" si="15"/>
        <v>0</v>
      </c>
      <c r="G59" s="31">
        <f t="shared" si="15"/>
        <v>0</v>
      </c>
      <c r="H59" s="14">
        <f t="shared" si="16"/>
        <v>0</v>
      </c>
      <c r="I59" s="31"/>
      <c r="J59" s="31"/>
      <c r="K59" s="31"/>
      <c r="L59" s="31"/>
      <c r="M59" s="31"/>
      <c r="N59" s="191">
        <f t="shared" si="17"/>
        <v>0</v>
      </c>
    </row>
    <row r="60" spans="2:16" x14ac:dyDescent="0.25">
      <c r="B60" t="s">
        <v>22</v>
      </c>
      <c r="C60" s="31">
        <f t="shared" si="15"/>
        <v>9.3897360740177618</v>
      </c>
      <c r="D60" s="31">
        <f t="shared" si="15"/>
        <v>18.949761285291714</v>
      </c>
      <c r="E60" s="31">
        <f t="shared" si="15"/>
        <v>13.666491633929128</v>
      </c>
      <c r="F60" s="31">
        <f t="shared" si="15"/>
        <v>28.254918311145211</v>
      </c>
      <c r="G60" s="31">
        <f t="shared" si="15"/>
        <v>15.452363454154952</v>
      </c>
      <c r="H60" s="14">
        <f t="shared" si="16"/>
        <v>85.713270758538755</v>
      </c>
      <c r="I60" s="31"/>
      <c r="J60" s="31"/>
      <c r="K60" s="31"/>
      <c r="L60" s="31"/>
      <c r="M60" s="31"/>
      <c r="N60" s="191">
        <f t="shared" si="17"/>
        <v>0</v>
      </c>
    </row>
    <row r="61" spans="2:16" x14ac:dyDescent="0.25">
      <c r="B61" t="s">
        <v>23</v>
      </c>
      <c r="C61" s="31">
        <f t="shared" si="15"/>
        <v>40.644500479653068</v>
      </c>
      <c r="D61" s="31">
        <f t="shared" si="15"/>
        <v>54.13655604531742</v>
      </c>
      <c r="E61" s="31">
        <f t="shared" si="15"/>
        <v>35.7467063849152</v>
      </c>
      <c r="F61" s="31">
        <f t="shared" si="15"/>
        <v>40.356299247444582</v>
      </c>
      <c r="G61" s="31">
        <f t="shared" si="15"/>
        <v>33.052518502325313</v>
      </c>
      <c r="H61" s="14">
        <f t="shared" si="16"/>
        <v>203.93658065965559</v>
      </c>
      <c r="I61" s="31"/>
      <c r="J61" s="31"/>
      <c r="K61" s="31"/>
      <c r="L61" s="31"/>
      <c r="M61" s="31"/>
      <c r="N61" s="191">
        <f t="shared" si="17"/>
        <v>0</v>
      </c>
    </row>
    <row r="62" spans="2:16" x14ac:dyDescent="0.25">
      <c r="B62" t="s">
        <v>24</v>
      </c>
      <c r="C62" s="31">
        <f t="shared" ref="C62:G63" si="18">C50+C37</f>
        <v>5.2783165798982452</v>
      </c>
      <c r="D62" s="31">
        <f t="shared" si="18"/>
        <v>6.1255858341373424</v>
      </c>
      <c r="E62" s="31">
        <f t="shared" si="18"/>
        <v>6.5733958738108145</v>
      </c>
      <c r="F62" s="31">
        <f t="shared" si="18"/>
        <v>8.6534097061724236</v>
      </c>
      <c r="G62" s="31">
        <f t="shared" si="18"/>
        <v>9.29492960968091</v>
      </c>
      <c r="H62" s="14">
        <f t="shared" si="16"/>
        <v>35.925637603699741</v>
      </c>
      <c r="I62" s="31"/>
      <c r="J62" s="31"/>
      <c r="K62" s="31"/>
      <c r="L62" s="31"/>
      <c r="M62" s="31"/>
      <c r="N62" s="191">
        <f t="shared" si="17"/>
        <v>0</v>
      </c>
    </row>
    <row r="63" spans="2:16" x14ac:dyDescent="0.25">
      <c r="B63" t="s">
        <v>211</v>
      </c>
      <c r="C63" s="31">
        <f t="shared" si="18"/>
        <v>6.1000306154218576E-4</v>
      </c>
      <c r="D63" s="31">
        <f t="shared" si="18"/>
        <v>3.6710736616359665E-2</v>
      </c>
      <c r="E63" s="31">
        <f t="shared" si="18"/>
        <v>1.7558279692917692E-2</v>
      </c>
      <c r="F63" s="31">
        <f t="shared" si="18"/>
        <v>3.7811509101258071E-2</v>
      </c>
      <c r="G63" s="31">
        <f t="shared" si="18"/>
        <v>3.5447935493751035</v>
      </c>
      <c r="H63" s="14">
        <f t="shared" si="16"/>
        <v>3.6374840778471813</v>
      </c>
      <c r="I63" s="31"/>
      <c r="J63" s="31"/>
      <c r="K63" s="31"/>
      <c r="L63" s="31"/>
      <c r="M63" s="31"/>
      <c r="N63" s="191">
        <f t="shared" si="17"/>
        <v>0</v>
      </c>
    </row>
    <row r="64" spans="2:16" x14ac:dyDescent="0.25">
      <c r="B64" s="25" t="s">
        <v>147</v>
      </c>
      <c r="C64" s="121">
        <f>SUM(C56:C63)</f>
        <v>362.45311038983436</v>
      </c>
      <c r="D64" s="121">
        <f t="shared" ref="D64:M64" si="19">SUM(D56:D63)</f>
        <v>440.80264670021904</v>
      </c>
      <c r="E64" s="121">
        <f t="shared" si="19"/>
        <v>413.22684466761496</v>
      </c>
      <c r="F64" s="121">
        <f t="shared" si="19"/>
        <v>437.08569026647893</v>
      </c>
      <c r="G64" s="121">
        <f t="shared" si="19"/>
        <v>413.86005448542585</v>
      </c>
      <c r="H64" s="121">
        <f t="shared" si="19"/>
        <v>2067.4283465095732</v>
      </c>
      <c r="I64" s="121">
        <f t="shared" si="19"/>
        <v>0</v>
      </c>
      <c r="J64" s="121">
        <f t="shared" si="19"/>
        <v>0</v>
      </c>
      <c r="K64" s="121">
        <f t="shared" si="19"/>
        <v>0</v>
      </c>
      <c r="L64" s="121">
        <f t="shared" si="19"/>
        <v>0</v>
      </c>
      <c r="M64" s="121">
        <f t="shared" si="19"/>
        <v>0</v>
      </c>
      <c r="N64" s="121">
        <f>SUM(N56:N63)</f>
        <v>0</v>
      </c>
      <c r="O64" s="154"/>
      <c r="P64" s="154"/>
    </row>
    <row r="65" spans="2:13" x14ac:dyDescent="0.25">
      <c r="B65" s="41" t="s">
        <v>72</v>
      </c>
      <c r="C65" s="469">
        <f>C64-Capex_by_Purpose!C82/Thousands</f>
        <v>4.4926000782652409E-5</v>
      </c>
      <c r="D65" s="469">
        <f>D64-Capex_by_Purpose!D82/Thousands</f>
        <v>1.8931122741605577E-4</v>
      </c>
      <c r="E65" s="469">
        <f>E64-Capex_by_Purpose!E82/Thousands</f>
        <v>0.14775827534100472</v>
      </c>
      <c r="F65" s="469">
        <f>F64-Capex_by_Purpose!F82/Thousands</f>
        <v>-5.0533715866947659E-2</v>
      </c>
      <c r="G65" s="469">
        <f>G64-Capex_by_Purpose!G82/Thousands</f>
        <v>-9.787824863900596E-2</v>
      </c>
      <c r="H65" s="469">
        <f>H64-Capex_by_Purpose!H82/Thousands</f>
        <v>-4.1945193652281887E-4</v>
      </c>
      <c r="I65" s="469"/>
      <c r="J65" s="469"/>
      <c r="K65" s="469"/>
      <c r="L65" s="469"/>
      <c r="M65" s="469"/>
    </row>
  </sheetData>
  <pageMargins left="0.7" right="0.7" top="0.75" bottom="0.75" header="0.3" footer="0.3"/>
  <pageSetup paperSize="9" orientation="portrait" verticalDpi="0" r:id="rId1"/>
  <ignoredErrors>
    <ignoredError sqref="C52:G52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2:V24"/>
  <sheetViews>
    <sheetView zoomScaleNormal="100" workbookViewId="0">
      <selection activeCell="I20" sqref="I20"/>
    </sheetView>
  </sheetViews>
  <sheetFormatPr defaultRowHeight="15" x14ac:dyDescent="0.25"/>
  <cols>
    <col min="1" max="1" width="3.5703125" customWidth="1"/>
    <col min="2" max="2" width="15.140625" customWidth="1"/>
    <col min="9" max="10" width="10.5703125" customWidth="1"/>
  </cols>
  <sheetData>
    <row r="2" spans="2:22" x14ac:dyDescent="0.25">
      <c r="B2" s="25" t="s">
        <v>668</v>
      </c>
    </row>
    <row r="4" spans="2:22" x14ac:dyDescent="0.25">
      <c r="C4" s="782" t="s">
        <v>563</v>
      </c>
      <c r="D4" s="783"/>
      <c r="E4" s="783"/>
      <c r="F4" s="783"/>
      <c r="G4" s="784"/>
      <c r="H4" s="478" t="s">
        <v>525</v>
      </c>
      <c r="I4" s="782" t="s">
        <v>564</v>
      </c>
      <c r="J4" s="783"/>
      <c r="K4" s="783"/>
      <c r="L4" s="783"/>
      <c r="M4" s="784"/>
      <c r="N4" s="18" t="s">
        <v>702</v>
      </c>
      <c r="O4" s="733" t="s">
        <v>669</v>
      </c>
    </row>
    <row r="5" spans="2:22" x14ac:dyDescent="0.25">
      <c r="B5" s="318" t="s">
        <v>231</v>
      </c>
      <c r="C5" s="18">
        <v>2016</v>
      </c>
      <c r="D5" s="18">
        <v>2017</v>
      </c>
      <c r="E5" s="18">
        <v>2018</v>
      </c>
      <c r="F5" s="18">
        <v>2019</v>
      </c>
      <c r="G5" s="18">
        <v>2020</v>
      </c>
      <c r="H5" s="478" t="s">
        <v>6</v>
      </c>
      <c r="I5" s="18">
        <v>2021</v>
      </c>
      <c r="J5" s="18">
        <v>2022</v>
      </c>
      <c r="K5" s="18">
        <v>2023</v>
      </c>
      <c r="L5" s="18">
        <v>2024</v>
      </c>
      <c r="M5" s="18">
        <v>2025</v>
      </c>
      <c r="N5" s="18" t="s">
        <v>6</v>
      </c>
      <c r="O5" s="734" t="s">
        <v>6</v>
      </c>
    </row>
    <row r="6" spans="2:22" x14ac:dyDescent="0.25">
      <c r="B6" s="318" t="s">
        <v>565</v>
      </c>
      <c r="C6" s="346">
        <f>Other_Tables!C18*Escalators!D$9</f>
        <v>0</v>
      </c>
      <c r="D6" s="346">
        <f>Other_Tables!D18*Escalators!E$9</f>
        <v>0</v>
      </c>
      <c r="E6" s="346">
        <f>Other_Tables!E18*Escalators!F$9</f>
        <v>0.25085853987340717</v>
      </c>
      <c r="F6" s="346">
        <f>Other_Tables!F18*Escalators!G$9</f>
        <v>10.455580196046101</v>
      </c>
      <c r="G6" s="346">
        <f>Other_Tables!G18*Escalators!H$9</f>
        <v>36.07172589673155</v>
      </c>
      <c r="H6" s="684">
        <f>SUM(C6:G6)</f>
        <v>46.778164632651055</v>
      </c>
      <c r="I6" s="346">
        <f>Other_Tables!I18*Escalators!I9</f>
        <v>44.785201270211445</v>
      </c>
      <c r="J6" s="346">
        <f>Other_Tables!J18*Escalators!J9</f>
        <v>28.973692192436445</v>
      </c>
      <c r="K6" s="346">
        <f>Other_Tables!K18*Escalators!K9</f>
        <v>0</v>
      </c>
      <c r="L6" s="346"/>
      <c r="M6" s="346"/>
      <c r="N6" s="368">
        <f>SUM(I6:M6)</f>
        <v>73.75889346264789</v>
      </c>
      <c r="O6" s="684">
        <f>H6+N6</f>
        <v>120.53705809529895</v>
      </c>
    </row>
    <row r="7" spans="2:22" x14ac:dyDescent="0.25">
      <c r="B7" s="318" t="s">
        <v>270</v>
      </c>
      <c r="C7" s="346">
        <f>PTRM_Inputs!R8*Escalators!D$9</f>
        <v>0</v>
      </c>
      <c r="D7" s="346">
        <f>PTRM_Inputs!S8*Escalators!E$9</f>
        <v>0</v>
      </c>
      <c r="E7" s="346">
        <f>PTRM_Inputs!T8*Escalators!F$9</f>
        <v>0</v>
      </c>
      <c r="F7" s="346">
        <f>PTRM_Inputs!U8*Escalators!G$9</f>
        <v>0</v>
      </c>
      <c r="G7" s="346">
        <f>PTRM_Inputs!V8*Escalators!H$9</f>
        <v>3.8310889735783282E-2</v>
      </c>
      <c r="H7" s="684">
        <f>SUM(C7:G7)</f>
        <v>3.8310889735783282E-2</v>
      </c>
      <c r="I7" s="346">
        <f>PTRM_Inputs!X8*Escalators!I$9</f>
        <v>0.45052926629982382</v>
      </c>
      <c r="J7" s="346">
        <f>PTRM_Inputs!Y8*Escalators!J$9</f>
        <v>0.51300001689387198</v>
      </c>
      <c r="K7" s="346">
        <f>PTRM_Inputs!Z8*Escalators!K$9</f>
        <v>0.99325570768662086</v>
      </c>
      <c r="L7" s="346">
        <f>PTRM_Inputs!AA8*Escalators!L$9</f>
        <v>1.0165922232349476</v>
      </c>
      <c r="M7" s="346">
        <f>PTRM_Inputs!AB8*Escalators!M$9</f>
        <v>1.043153513606442</v>
      </c>
      <c r="N7" s="368">
        <f>SUM(I7:M7)</f>
        <v>4.0165307277217064</v>
      </c>
      <c r="O7" s="684">
        <f>H7+N7</f>
        <v>4.0548416174574893</v>
      </c>
    </row>
    <row r="8" spans="2:22" x14ac:dyDescent="0.25">
      <c r="B8" s="661" t="s">
        <v>671</v>
      </c>
    </row>
    <row r="9" spans="2:22" x14ac:dyDescent="0.25">
      <c r="B9" s="54" t="s">
        <v>566</v>
      </c>
    </row>
    <row r="12" spans="2:22" x14ac:dyDescent="0.25">
      <c r="B12" s="22" t="s">
        <v>670</v>
      </c>
      <c r="I12" s="28"/>
      <c r="J12" s="28"/>
    </row>
    <row r="14" spans="2:22" x14ac:dyDescent="0.25">
      <c r="C14" s="782" t="s">
        <v>563</v>
      </c>
      <c r="D14" s="783"/>
      <c r="E14" s="783"/>
      <c r="F14" s="783"/>
      <c r="G14" s="784"/>
      <c r="H14" s="478" t="s">
        <v>525</v>
      </c>
      <c r="I14" s="782" t="s">
        <v>564</v>
      </c>
      <c r="J14" s="783"/>
      <c r="K14" s="783"/>
      <c r="L14" s="783"/>
      <c r="M14" s="784"/>
      <c r="N14" s="18" t="s">
        <v>702</v>
      </c>
      <c r="O14" s="733" t="s">
        <v>669</v>
      </c>
    </row>
    <row r="15" spans="2:22" x14ac:dyDescent="0.25">
      <c r="B15" s="318" t="s">
        <v>231</v>
      </c>
      <c r="C15" s="18">
        <v>2016</v>
      </c>
      <c r="D15" s="18">
        <v>2017</v>
      </c>
      <c r="E15" s="18">
        <v>2018</v>
      </c>
      <c r="F15" s="18">
        <v>2019</v>
      </c>
      <c r="G15" s="18">
        <v>2020</v>
      </c>
      <c r="H15" s="478" t="s">
        <v>6</v>
      </c>
      <c r="I15" s="18">
        <v>2021</v>
      </c>
      <c r="J15" s="18">
        <v>2022</v>
      </c>
      <c r="K15" s="18">
        <v>2023</v>
      </c>
      <c r="L15" s="18">
        <v>2024</v>
      </c>
      <c r="M15" s="18">
        <v>2025</v>
      </c>
      <c r="N15" s="18" t="s">
        <v>6</v>
      </c>
      <c r="O15" s="734" t="s">
        <v>6</v>
      </c>
    </row>
    <row r="16" spans="2:22" x14ac:dyDescent="0.25">
      <c r="B16" s="318" t="s">
        <v>265</v>
      </c>
      <c r="C16" s="346">
        <f>Other_Tables!C18</f>
        <v>0</v>
      </c>
      <c r="D16" s="346">
        <f>Other_Tables!D18</f>
        <v>0</v>
      </c>
      <c r="E16" s="346">
        <f>Other_Tables!E18</f>
        <v>0.233976235367511</v>
      </c>
      <c r="F16" s="346">
        <f>Other_Tables!F18</f>
        <v>9.5280775361587775</v>
      </c>
      <c r="G16" s="346">
        <f>Other_Tables!G18</f>
        <v>32.117250098806736</v>
      </c>
      <c r="H16" s="684">
        <f>SUM(C16:G16)</f>
        <v>41.879303870333025</v>
      </c>
      <c r="I16" s="346">
        <f>Other_Tables!I18</f>
        <v>38.960116606611734</v>
      </c>
      <c r="J16" s="346">
        <f>Other_Tables!J18</f>
        <v>24.626565388786361</v>
      </c>
      <c r="K16" s="346">
        <f>Other_Tables!K18</f>
        <v>0</v>
      </c>
      <c r="L16" s="346"/>
      <c r="M16" s="346"/>
      <c r="N16" s="368">
        <f>SUM(I16:M16)</f>
        <v>63.586681995398095</v>
      </c>
      <c r="O16" s="684">
        <f>H16+N16</f>
        <v>105.46598586573111</v>
      </c>
      <c r="Q16" s="324"/>
      <c r="R16" s="324"/>
      <c r="S16" s="324"/>
      <c r="T16" s="324"/>
      <c r="U16" s="324"/>
      <c r="V16" s="324"/>
    </row>
    <row r="17" spans="2:22" x14ac:dyDescent="0.25">
      <c r="B17" s="318" t="s">
        <v>270</v>
      </c>
      <c r="C17" s="346">
        <f>PTRM_Inputs!R8</f>
        <v>0</v>
      </c>
      <c r="D17" s="346">
        <f>PTRM_Inputs!S8</f>
        <v>0</v>
      </c>
      <c r="E17" s="346">
        <f>PTRM_Inputs!T8</f>
        <v>0</v>
      </c>
      <c r="F17" s="346">
        <f>PTRM_Inputs!U8</f>
        <v>0</v>
      </c>
      <c r="G17" s="736">
        <f>PTRM_Inputs!V8</f>
        <v>3.4110938597020371E-2</v>
      </c>
      <c r="H17" s="737">
        <f>SUM(C17:G17)</f>
        <v>3.4110938597020371E-2</v>
      </c>
      <c r="I17" s="346">
        <f>PTRM_Inputs!X8</f>
        <v>0.39193019684847102</v>
      </c>
      <c r="J17" s="346">
        <f>PTRM_Inputs!Y8</f>
        <v>0.43603101657107379</v>
      </c>
      <c r="K17" s="346">
        <f>PTRM_Inputs!Z8</f>
        <v>0.82485072349379851</v>
      </c>
      <c r="L17" s="346">
        <f>PTRM_Inputs!AA8</f>
        <v>0.82485072349379851</v>
      </c>
      <c r="M17" s="346">
        <f>PTRM_Inputs!AB8</f>
        <v>0.82697253851455188</v>
      </c>
      <c r="N17" s="368">
        <f>SUM(I17:M17)</f>
        <v>3.3046351989216936</v>
      </c>
      <c r="O17" s="684">
        <f>H17+N17</f>
        <v>3.3387461375187137</v>
      </c>
      <c r="Q17" s="324"/>
      <c r="R17" s="324"/>
      <c r="S17" s="324"/>
      <c r="T17" s="324"/>
      <c r="U17" s="324"/>
      <c r="V17" s="324"/>
    </row>
    <row r="18" spans="2:22" x14ac:dyDescent="0.25">
      <c r="Q18" s="324"/>
      <c r="R18" s="324"/>
      <c r="S18" s="324"/>
      <c r="T18" s="324"/>
      <c r="U18" s="324"/>
      <c r="V18" s="324"/>
    </row>
    <row r="19" spans="2:22" x14ac:dyDescent="0.25">
      <c r="B19" s="25" t="s">
        <v>667</v>
      </c>
      <c r="C19" s="224"/>
      <c r="D19" s="224"/>
      <c r="E19" s="224"/>
      <c r="F19" s="224"/>
      <c r="G19" s="224"/>
      <c r="H19" s="224"/>
      <c r="I19" s="738"/>
      <c r="J19" s="738"/>
      <c r="K19" s="301"/>
      <c r="L19" s="301"/>
      <c r="M19" s="301"/>
      <c r="N19" s="738"/>
      <c r="Q19" s="46"/>
      <c r="R19" s="46"/>
      <c r="S19" s="46"/>
      <c r="T19" s="46"/>
      <c r="U19" s="46"/>
      <c r="V19" s="46"/>
    </row>
    <row r="20" spans="2:22" x14ac:dyDescent="0.25">
      <c r="B20" s="224"/>
      <c r="C20" s="224"/>
      <c r="D20" s="224"/>
      <c r="E20" s="659"/>
      <c r="F20" s="659"/>
      <c r="G20" s="659"/>
      <c r="H20" s="224"/>
      <c r="I20" s="659"/>
      <c r="J20" s="659"/>
      <c r="K20" s="659"/>
      <c r="L20" s="659"/>
      <c r="M20" s="659"/>
    </row>
    <row r="21" spans="2:22" x14ac:dyDescent="0.25">
      <c r="C21" s="782" t="s">
        <v>563</v>
      </c>
      <c r="D21" s="783"/>
      <c r="E21" s="783"/>
      <c r="F21" s="783"/>
      <c r="G21" s="784"/>
      <c r="H21" s="478" t="s">
        <v>525</v>
      </c>
      <c r="I21" s="782" t="s">
        <v>564</v>
      </c>
      <c r="J21" s="783"/>
      <c r="K21" s="783"/>
      <c r="L21" s="783"/>
      <c r="M21" s="784"/>
      <c r="N21" s="18" t="s">
        <v>702</v>
      </c>
      <c r="O21" s="733" t="s">
        <v>669</v>
      </c>
    </row>
    <row r="22" spans="2:22" x14ac:dyDescent="0.25">
      <c r="B22" s="318" t="s">
        <v>231</v>
      </c>
      <c r="C22" s="18">
        <v>2016</v>
      </c>
      <c r="D22" s="18">
        <v>2017</v>
      </c>
      <c r="E22" s="18">
        <v>2018</v>
      </c>
      <c r="F22" s="18">
        <v>2019</v>
      </c>
      <c r="G22" s="18">
        <v>2020</v>
      </c>
      <c r="H22" s="478" t="s">
        <v>6</v>
      </c>
      <c r="I22" s="18">
        <v>2021</v>
      </c>
      <c r="J22" s="18">
        <v>2022</v>
      </c>
      <c r="K22" s="18">
        <v>2023</v>
      </c>
      <c r="L22" s="18">
        <v>2024</v>
      </c>
      <c r="M22" s="18">
        <v>2025</v>
      </c>
      <c r="N22" s="18" t="s">
        <v>6</v>
      </c>
      <c r="O22" s="734" t="s">
        <v>6</v>
      </c>
    </row>
    <row r="23" spans="2:22" x14ac:dyDescent="0.25">
      <c r="B23" s="318" t="s">
        <v>265</v>
      </c>
      <c r="C23" s="346">
        <f>C16*Escalators!$G$8</f>
        <v>0</v>
      </c>
      <c r="D23" s="346">
        <f>D16*Escalators!$G$8</f>
        <v>0</v>
      </c>
      <c r="E23" s="346">
        <f>E16*Escalators!$G$8</f>
        <v>0.24966302735154616</v>
      </c>
      <c r="F23" s="346">
        <f>F16*Escalators!$G$8</f>
        <v>10.166881601378108</v>
      </c>
      <c r="G23" s="346">
        <f>G16*Escalators!$G$8</f>
        <v>34.270531266904257</v>
      </c>
      <c r="H23" s="684">
        <f>SUM(C23:G23)</f>
        <v>44.68707589563391</v>
      </c>
      <c r="I23" s="346">
        <f>I16*Escalators!$G$8</f>
        <v>41.57217352735718</v>
      </c>
      <c r="J23" s="346">
        <f>J16*Escalators!$G$8</f>
        <v>26.277638233549183</v>
      </c>
      <c r="K23" s="346">
        <f>K16*Escalators!$G$8</f>
        <v>0</v>
      </c>
      <c r="L23" s="346"/>
      <c r="M23" s="346"/>
      <c r="N23" s="368">
        <f>SUM(I23:M23)</f>
        <v>67.849811760906363</v>
      </c>
      <c r="O23" s="684">
        <f>H23+N23</f>
        <v>112.53688765654027</v>
      </c>
    </row>
    <row r="24" spans="2:22" x14ac:dyDescent="0.25">
      <c r="B24" s="318" t="s">
        <v>270</v>
      </c>
      <c r="C24" s="346">
        <f>C17*Escalators!$G$8</f>
        <v>0</v>
      </c>
      <c r="D24" s="346">
        <f>D17*Escalators!$G$8</f>
        <v>0</v>
      </c>
      <c r="E24" s="346">
        <f>E17*Escalators!$G$8</f>
        <v>0</v>
      </c>
      <c r="F24" s="346">
        <f>F17*Escalators!$G$8</f>
        <v>0</v>
      </c>
      <c r="G24" s="736">
        <f>G17*Escalators!$G$8</f>
        <v>3.6397885377368287E-2</v>
      </c>
      <c r="H24" s="737">
        <f>SUM(C24:G24)</f>
        <v>3.6397885377368287E-2</v>
      </c>
      <c r="I24" s="346">
        <f>I17*Escalators!$G$8</f>
        <v>0.41820691448420416</v>
      </c>
      <c r="J24" s="346">
        <f>J17*Escalators!$G$8</f>
        <v>0.46526444638839787</v>
      </c>
      <c r="K24" s="346">
        <f>K17*Escalators!$G$8</f>
        <v>0.88015233007364702</v>
      </c>
      <c r="L24" s="346">
        <f>L17*Escalators!$G$8</f>
        <v>0.88015233007364702</v>
      </c>
      <c r="M24" s="346">
        <f>M17*Escalators!$G$8</f>
        <v>0.8824164008701072</v>
      </c>
      <c r="N24" s="368">
        <f>SUM(I24:M24)</f>
        <v>3.5261924218900029</v>
      </c>
      <c r="O24" s="684">
        <f>H24+N24</f>
        <v>3.5625903072673712</v>
      </c>
    </row>
  </sheetData>
  <mergeCells count="6">
    <mergeCell ref="C21:G21"/>
    <mergeCell ref="C4:G4"/>
    <mergeCell ref="C14:G14"/>
    <mergeCell ref="I4:M4"/>
    <mergeCell ref="I14:M14"/>
    <mergeCell ref="I21:M21"/>
  </mergeCells>
  <pageMargins left="0.7" right="0.7" top="0.75" bottom="0.75" header="0.3" footer="0.3"/>
  <ignoredErrors>
    <ignoredError sqref="H23:H24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B2:P39"/>
  <sheetViews>
    <sheetView zoomScaleNormal="100" workbookViewId="0">
      <selection activeCell="G22" sqref="G22"/>
    </sheetView>
  </sheetViews>
  <sheetFormatPr defaultRowHeight="15" x14ac:dyDescent="0.25"/>
  <cols>
    <col min="1" max="1" width="3.7109375" customWidth="1"/>
    <col min="2" max="2" width="41.140625" customWidth="1"/>
  </cols>
  <sheetData>
    <row r="2" spans="2:8" x14ac:dyDescent="0.25">
      <c r="B2" s="25" t="s">
        <v>714</v>
      </c>
    </row>
    <row r="3" spans="2:8" x14ac:dyDescent="0.25">
      <c r="B3" t="s">
        <v>59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t="s">
        <v>6</v>
      </c>
    </row>
    <row r="4" spans="2:8" x14ac:dyDescent="0.25">
      <c r="B4" t="s">
        <v>53</v>
      </c>
      <c r="C4" s="38">
        <v>217.26898985819372</v>
      </c>
      <c r="D4" s="38">
        <v>230.91026427409503</v>
      </c>
      <c r="E4" s="38">
        <v>251.18831332572665</v>
      </c>
      <c r="F4" s="38">
        <v>268.19473002590644</v>
      </c>
      <c r="G4" s="38">
        <v>289.00996309945413</v>
      </c>
      <c r="H4" s="14">
        <f>SUM(C4:G4)</f>
        <v>1256.572260583376</v>
      </c>
    </row>
    <row r="5" spans="2:8" x14ac:dyDescent="0.25">
      <c r="B5" t="s">
        <v>54</v>
      </c>
      <c r="C5" s="38">
        <v>102.9841839058931</v>
      </c>
      <c r="D5" s="38">
        <v>87.639253190706739</v>
      </c>
      <c r="E5" s="38">
        <v>92.903504251952242</v>
      </c>
      <c r="F5" s="38">
        <v>96.652895668830212</v>
      </c>
      <c r="G5" s="38">
        <v>105.49273609104475</v>
      </c>
      <c r="H5" s="14">
        <f>SUM(C5:G5)</f>
        <v>485.67257310842706</v>
      </c>
    </row>
    <row r="6" spans="2:8" x14ac:dyDescent="0.25">
      <c r="B6" t="s">
        <v>55</v>
      </c>
      <c r="C6" s="38">
        <v>230.37385201495573</v>
      </c>
      <c r="D6" s="38">
        <v>240.17181917755454</v>
      </c>
      <c r="E6" s="38">
        <v>251.75428178185885</v>
      </c>
      <c r="F6" s="38">
        <v>262.70361336899686</v>
      </c>
      <c r="G6" s="38">
        <v>275.0630697444297</v>
      </c>
      <c r="H6" s="14">
        <f>SUM(C6:G6)</f>
        <v>1260.0666360877956</v>
      </c>
    </row>
    <row r="7" spans="2:8" x14ac:dyDescent="0.25">
      <c r="B7" t="s">
        <v>56</v>
      </c>
      <c r="C7" s="38">
        <v>5.317803163480348</v>
      </c>
      <c r="D7" s="38">
        <v>-6.3737814673015984</v>
      </c>
      <c r="E7" s="38">
        <v>-3.6366093231007839</v>
      </c>
      <c r="F7" s="38">
        <v>16.156049202765935</v>
      </c>
      <c r="G7" s="38">
        <v>0.112312622611709</v>
      </c>
      <c r="H7" s="14">
        <f>SUM(C7:G7)</f>
        <v>11.57577419845561</v>
      </c>
    </row>
    <row r="8" spans="2:8" x14ac:dyDescent="0.25">
      <c r="B8" t="s">
        <v>57</v>
      </c>
      <c r="C8" s="38">
        <v>33.04532848105616</v>
      </c>
      <c r="D8" s="38">
        <v>26.905839521345062</v>
      </c>
      <c r="E8" s="38">
        <v>27.560402339648903</v>
      </c>
      <c r="F8" s="38">
        <v>28.961111410838232</v>
      </c>
      <c r="G8" s="38">
        <v>28.321928734424365</v>
      </c>
      <c r="H8" s="14">
        <f>SUM(C8:G8)</f>
        <v>144.79461048731272</v>
      </c>
    </row>
    <row r="9" spans="2:8" x14ac:dyDescent="0.25">
      <c r="B9" s="25" t="s">
        <v>58</v>
      </c>
      <c r="C9" s="158">
        <f t="shared" ref="C9:H9" si="0">SUM(C4:C8)</f>
        <v>588.99015742357892</v>
      </c>
      <c r="D9" s="158">
        <f t="shared" si="0"/>
        <v>579.25339469639982</v>
      </c>
      <c r="E9" s="158">
        <f t="shared" si="0"/>
        <v>619.76989237608598</v>
      </c>
      <c r="F9" s="158">
        <f t="shared" si="0"/>
        <v>672.66839967733767</v>
      </c>
      <c r="G9" s="158">
        <f t="shared" si="0"/>
        <v>698.00001029196471</v>
      </c>
      <c r="H9" s="26">
        <f t="shared" si="0"/>
        <v>3158.681854465367</v>
      </c>
    </row>
    <row r="10" spans="2:8" x14ac:dyDescent="0.25">
      <c r="B10" s="25" t="s">
        <v>60</v>
      </c>
      <c r="C10" s="710">
        <v>586.0451371831706</v>
      </c>
      <c r="D10" s="710">
        <v>597.86642797193508</v>
      </c>
      <c r="E10" s="710">
        <v>623.01993555085926</v>
      </c>
      <c r="F10" s="710">
        <v>656.87178825462126</v>
      </c>
      <c r="G10" s="710">
        <v>692.56298487996094</v>
      </c>
      <c r="H10" s="711">
        <f>SUM(C10:G10)</f>
        <v>3156.3662738405469</v>
      </c>
    </row>
    <row r="11" spans="2:8" x14ac:dyDescent="0.25">
      <c r="B11" s="139" t="s">
        <v>728</v>
      </c>
    </row>
    <row r="12" spans="2:8" x14ac:dyDescent="0.25">
      <c r="B12" s="139"/>
    </row>
    <row r="13" spans="2:8" x14ac:dyDescent="0.25">
      <c r="B13" s="25" t="s">
        <v>708</v>
      </c>
    </row>
    <row r="14" spans="2:8" x14ac:dyDescent="0.25">
      <c r="B14" t="s">
        <v>59</v>
      </c>
      <c r="C14" s="4">
        <v>2016</v>
      </c>
      <c r="D14" s="4">
        <v>2017</v>
      </c>
      <c r="E14" s="4">
        <v>2018</v>
      </c>
      <c r="F14" s="4">
        <v>2019</v>
      </c>
      <c r="G14" s="4">
        <v>2020</v>
      </c>
      <c r="H14" t="s">
        <v>6</v>
      </c>
    </row>
    <row r="15" spans="2:8" x14ac:dyDescent="0.25">
      <c r="B15" t="s">
        <v>53</v>
      </c>
      <c r="C15" s="660">
        <v>217.26898985819372</v>
      </c>
      <c r="D15" s="660">
        <v>230.94030534679104</v>
      </c>
      <c r="E15" s="660">
        <v>251.21830488423416</v>
      </c>
      <c r="F15" s="660">
        <v>268.22450320119572</v>
      </c>
      <c r="G15" s="660">
        <v>289.70244970691601</v>
      </c>
      <c r="H15" s="14">
        <f t="shared" ref="H15:H21" si="1">SUM(C15:G15)</f>
        <v>1257.3545529973308</v>
      </c>
    </row>
    <row r="16" spans="2:8" x14ac:dyDescent="0.25">
      <c r="B16" t="s">
        <v>54</v>
      </c>
      <c r="C16" s="660">
        <v>102.9841839058931</v>
      </c>
      <c r="D16" s="660">
        <v>87.638088133964999</v>
      </c>
      <c r="E16" s="660">
        <v>92.902549116812139</v>
      </c>
      <c r="F16" s="660">
        <v>96.583122557849507</v>
      </c>
      <c r="G16" s="660">
        <v>105.58092211505759</v>
      </c>
      <c r="H16" s="14">
        <f t="shared" si="1"/>
        <v>485.68886582957731</v>
      </c>
    </row>
    <row r="17" spans="2:16" x14ac:dyDescent="0.25">
      <c r="B17" t="s">
        <v>55</v>
      </c>
      <c r="C17" s="660">
        <v>230.37385201495573</v>
      </c>
      <c r="D17" s="660">
        <v>240.17206804581525</v>
      </c>
      <c r="E17" s="660">
        <v>251.75453125485549</v>
      </c>
      <c r="F17" s="660">
        <v>262.70386333776719</v>
      </c>
      <c r="G17" s="660">
        <v>275.10719459334456</v>
      </c>
      <c r="H17" s="14">
        <f t="shared" si="1"/>
        <v>1260.1115092467383</v>
      </c>
      <c r="I17" s="37"/>
    </row>
    <row r="18" spans="2:16" x14ac:dyDescent="0.25">
      <c r="B18" t="s">
        <v>56</v>
      </c>
      <c r="C18" s="660">
        <v>5.317803163480348</v>
      </c>
      <c r="D18" s="660">
        <v>-6.3737814673015984</v>
      </c>
      <c r="E18" s="660">
        <v>-3.6366093231007839</v>
      </c>
      <c r="F18" s="660">
        <v>16.156049202765935</v>
      </c>
      <c r="G18" s="660">
        <v>0.112312622611709</v>
      </c>
      <c r="H18" s="14">
        <f t="shared" si="1"/>
        <v>11.57577419845561</v>
      </c>
    </row>
    <row r="19" spans="2:16" x14ac:dyDescent="0.25">
      <c r="B19" t="s">
        <v>57</v>
      </c>
      <c r="C19" s="660">
        <v>33.04532848105616</v>
      </c>
      <c r="D19" s="660">
        <v>26.888087816913131</v>
      </c>
      <c r="E19" s="660">
        <v>27.542704387893409</v>
      </c>
      <c r="F19" s="660">
        <v>28.928313364056496</v>
      </c>
      <c r="G19" s="660">
        <v>28.305421434545512</v>
      </c>
      <c r="H19" s="14">
        <f t="shared" si="1"/>
        <v>144.7098554844647</v>
      </c>
    </row>
    <row r="20" spans="2:16" x14ac:dyDescent="0.25">
      <c r="B20" s="25" t="s">
        <v>58</v>
      </c>
      <c r="C20" s="26">
        <f>SUM(C15:C19)</f>
        <v>588.99015742357892</v>
      </c>
      <c r="D20" s="26">
        <f>SUM(D15:D19)</f>
        <v>579.26476787618299</v>
      </c>
      <c r="E20" s="26">
        <f>SUM(E15:E19)</f>
        <v>619.78148032069441</v>
      </c>
      <c r="F20" s="26">
        <f>SUM(F15:F19)</f>
        <v>672.5958516636349</v>
      </c>
      <c r="G20" s="26">
        <f>SUM(G15:G19)</f>
        <v>698.80830047247548</v>
      </c>
      <c r="H20" s="624">
        <f t="shared" si="1"/>
        <v>3159.4405577565662</v>
      </c>
    </row>
    <row r="21" spans="2:16" x14ac:dyDescent="0.25">
      <c r="B21" s="25" t="s">
        <v>60</v>
      </c>
      <c r="C21" s="712">
        <v>586.0451371831706</v>
      </c>
      <c r="D21" s="712">
        <v>597.86642797193508</v>
      </c>
      <c r="E21" s="712">
        <v>623.01993555085926</v>
      </c>
      <c r="F21" s="712">
        <v>656.87178825462126</v>
      </c>
      <c r="G21" s="712">
        <v>693.32031115949121</v>
      </c>
      <c r="H21" s="624">
        <f t="shared" si="1"/>
        <v>3157.1236001200773</v>
      </c>
    </row>
    <row r="22" spans="2:16" x14ac:dyDescent="0.25">
      <c r="C22" s="38"/>
      <c r="D22" s="38"/>
      <c r="E22" s="38"/>
      <c r="F22" s="38"/>
      <c r="G22" s="38"/>
      <c r="H22" s="14"/>
    </row>
    <row r="23" spans="2:16" x14ac:dyDescent="0.25">
      <c r="B23" s="22" t="s">
        <v>666</v>
      </c>
      <c r="I23" s="161"/>
      <c r="J23" s="161"/>
      <c r="K23" s="161"/>
      <c r="L23" s="161"/>
      <c r="M23" s="161"/>
      <c r="N23" s="161"/>
      <c r="O23" s="161"/>
      <c r="P23" s="161"/>
    </row>
    <row r="24" spans="2:16" x14ac:dyDescent="0.25">
      <c r="B24" t="s">
        <v>59</v>
      </c>
      <c r="C24" s="4">
        <v>2016</v>
      </c>
      <c r="D24" s="4">
        <v>2017</v>
      </c>
      <c r="E24" s="4">
        <v>2018</v>
      </c>
      <c r="F24" s="4">
        <v>2019</v>
      </c>
      <c r="G24" s="4">
        <v>2020</v>
      </c>
      <c r="H24" s="4" t="s">
        <v>6</v>
      </c>
      <c r="I24" s="161"/>
      <c r="J24" s="161"/>
      <c r="K24" s="161"/>
      <c r="L24" s="161"/>
      <c r="M24" s="161"/>
      <c r="N24" s="161"/>
      <c r="O24" s="161"/>
      <c r="P24" s="161"/>
    </row>
    <row r="25" spans="2:16" x14ac:dyDescent="0.25">
      <c r="B25" t="s">
        <v>53</v>
      </c>
      <c r="C25" s="19">
        <f t="shared" ref="C25:G29" si="2">C15-C4</f>
        <v>0</v>
      </c>
      <c r="D25" s="19">
        <f t="shared" si="2"/>
        <v>3.0041072696008086E-2</v>
      </c>
      <c r="E25" s="19">
        <f t="shared" si="2"/>
        <v>2.9991558507504124E-2</v>
      </c>
      <c r="F25" s="19">
        <f t="shared" si="2"/>
        <v>2.9773175289278697E-2</v>
      </c>
      <c r="G25" s="19">
        <f t="shared" si="2"/>
        <v>0.69248660746188762</v>
      </c>
      <c r="H25" s="19">
        <f t="shared" ref="H25:H30" si="3">SUM(C25:G25)</f>
        <v>0.78229241395467852</v>
      </c>
      <c r="I25" s="161"/>
      <c r="J25" s="477"/>
      <c r="K25" s="477"/>
      <c r="L25" s="477"/>
      <c r="M25" s="477"/>
      <c r="N25" s="477"/>
      <c r="O25" s="160"/>
      <c r="P25" s="161"/>
    </row>
    <row r="26" spans="2:16" x14ac:dyDescent="0.25">
      <c r="B26" t="s">
        <v>54</v>
      </c>
      <c r="C26" s="501">
        <f t="shared" si="2"/>
        <v>0</v>
      </c>
      <c r="D26" s="19">
        <f t="shared" si="2"/>
        <v>-1.1650567417405E-3</v>
      </c>
      <c r="E26" s="19">
        <f t="shared" si="2"/>
        <v>-9.5513514010292511E-4</v>
      </c>
      <c r="F26" s="19">
        <f t="shared" si="2"/>
        <v>-6.9773110980705155E-2</v>
      </c>
      <c r="G26" s="19">
        <f t="shared" si="2"/>
        <v>8.8186024012841813E-2</v>
      </c>
      <c r="H26" s="19">
        <f t="shared" si="3"/>
        <v>1.6292721150293232E-2</v>
      </c>
      <c r="I26" s="161"/>
      <c r="J26" s="477"/>
      <c r="K26" s="477"/>
      <c r="L26" s="477"/>
      <c r="M26" s="477"/>
      <c r="N26" s="477"/>
      <c r="O26" s="160"/>
      <c r="P26" s="161"/>
    </row>
    <row r="27" spans="2:16" x14ac:dyDescent="0.25">
      <c r="B27" t="s">
        <v>55</v>
      </c>
      <c r="C27" s="19">
        <f t="shared" si="2"/>
        <v>0</v>
      </c>
      <c r="D27" s="19">
        <f t="shared" si="2"/>
        <v>2.4886826071224277E-4</v>
      </c>
      <c r="E27" s="19">
        <f t="shared" si="2"/>
        <v>2.4947299664290767E-4</v>
      </c>
      <c r="F27" s="19">
        <f t="shared" si="2"/>
        <v>2.4996877033345299E-4</v>
      </c>
      <c r="G27" s="19">
        <f t="shared" si="2"/>
        <v>4.4124848914862014E-2</v>
      </c>
      <c r="H27" s="19">
        <f t="shared" si="3"/>
        <v>4.4873158942550617E-2</v>
      </c>
      <c r="I27" s="161"/>
      <c r="J27" s="477"/>
      <c r="K27" s="477"/>
      <c r="L27" s="477"/>
      <c r="M27" s="477"/>
      <c r="N27" s="477"/>
      <c r="O27" s="160"/>
      <c r="P27" s="161"/>
    </row>
    <row r="28" spans="2:16" x14ac:dyDescent="0.25">
      <c r="B28" t="s">
        <v>56</v>
      </c>
      <c r="C28" s="19">
        <f t="shared" si="2"/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3"/>
        <v>0</v>
      </c>
      <c r="I28" s="161"/>
      <c r="J28" s="477"/>
      <c r="K28" s="477"/>
      <c r="L28" s="477"/>
      <c r="M28" s="477"/>
      <c r="N28" s="477"/>
      <c r="O28" s="160"/>
      <c r="P28" s="161"/>
    </row>
    <row r="29" spans="2:16" x14ac:dyDescent="0.25">
      <c r="B29" t="s">
        <v>57</v>
      </c>
      <c r="C29" s="19">
        <f t="shared" si="2"/>
        <v>0</v>
      </c>
      <c r="D29" s="19">
        <f t="shared" si="2"/>
        <v>-1.7751704431930193E-2</v>
      </c>
      <c r="E29" s="19">
        <f t="shared" si="2"/>
        <v>-1.7697951755494046E-2</v>
      </c>
      <c r="F29" s="19">
        <f t="shared" si="2"/>
        <v>-3.2798046781735479E-2</v>
      </c>
      <c r="G29" s="19">
        <f t="shared" si="2"/>
        <v>-1.6507299878853132E-2</v>
      </c>
      <c r="H29" s="19">
        <f t="shared" si="3"/>
        <v>-8.475500284801285E-2</v>
      </c>
      <c r="I29" s="161"/>
      <c r="J29" s="477"/>
      <c r="K29" s="477"/>
      <c r="L29" s="477"/>
      <c r="M29" s="477"/>
      <c r="N29" s="477"/>
      <c r="O29" s="160"/>
      <c r="P29" s="161"/>
    </row>
    <row r="30" spans="2:16" x14ac:dyDescent="0.25">
      <c r="B30" s="25" t="s">
        <v>58</v>
      </c>
      <c r="C30" s="709">
        <f>SUM(C25:C29)</f>
        <v>0</v>
      </c>
      <c r="D30" s="709">
        <f>SUM(D25:D29)</f>
        <v>1.1373179783049636E-2</v>
      </c>
      <c r="E30" s="709">
        <f>SUM(E25:E29)</f>
        <v>1.158794460855006E-2</v>
      </c>
      <c r="F30" s="709">
        <f>SUM(F25:F29)</f>
        <v>-7.2548013702828484E-2</v>
      </c>
      <c r="G30" s="709">
        <f>SUM(G25:G29)</f>
        <v>0.80829018051073831</v>
      </c>
      <c r="H30" s="709">
        <f t="shared" si="3"/>
        <v>0.75870329119950952</v>
      </c>
      <c r="I30" s="161"/>
      <c r="J30" s="477"/>
      <c r="K30" s="477"/>
      <c r="L30" s="477"/>
      <c r="M30" s="477"/>
      <c r="N30" s="477"/>
      <c r="O30" s="160"/>
      <c r="P30" s="161"/>
    </row>
    <row r="31" spans="2:16" x14ac:dyDescent="0.25">
      <c r="B31" s="25" t="s">
        <v>61</v>
      </c>
      <c r="C31" s="709">
        <f>C21-C10</f>
        <v>0</v>
      </c>
      <c r="D31" s="709">
        <f>D21-D10</f>
        <v>0</v>
      </c>
      <c r="E31" s="709">
        <f>E21-E10</f>
        <v>0</v>
      </c>
      <c r="F31" s="709">
        <f>F21-F10</f>
        <v>0</v>
      </c>
      <c r="G31" s="709">
        <f>G21-G10</f>
        <v>0.75732627953027531</v>
      </c>
      <c r="H31" s="709">
        <f>SUM(C31:G31)</f>
        <v>0.75732627953027531</v>
      </c>
      <c r="I31" s="159"/>
      <c r="J31" s="477"/>
      <c r="K31" s="477"/>
      <c r="L31" s="477"/>
      <c r="M31" s="477"/>
      <c r="N31" s="477"/>
      <c r="O31" s="160"/>
      <c r="P31" s="161"/>
    </row>
    <row r="32" spans="2:16" x14ac:dyDescent="0.25">
      <c r="I32" s="161"/>
      <c r="J32" s="161"/>
      <c r="K32" s="161"/>
      <c r="L32" s="161"/>
      <c r="M32" s="161"/>
      <c r="N32" s="161"/>
      <c r="O32" s="161"/>
      <c r="P32" s="161"/>
    </row>
    <row r="33" spans="3:15" x14ac:dyDescent="0.25">
      <c r="C33" s="19"/>
      <c r="D33" s="19"/>
      <c r="E33" s="19"/>
      <c r="F33" s="19"/>
      <c r="G33" s="19"/>
      <c r="H33" s="19"/>
      <c r="J33" s="402"/>
      <c r="K33" s="402"/>
      <c r="L33" s="402"/>
      <c r="M33" s="402"/>
      <c r="N33" s="402"/>
      <c r="O33" s="402"/>
    </row>
    <row r="34" spans="3:15" x14ac:dyDescent="0.25">
      <c r="C34" s="19"/>
      <c r="D34" s="19"/>
      <c r="E34" s="19"/>
      <c r="F34" s="19"/>
      <c r="G34" s="19"/>
      <c r="H34" s="325"/>
      <c r="J34" s="402"/>
      <c r="K34" s="403"/>
      <c r="L34" s="403"/>
      <c r="M34" s="403"/>
      <c r="N34" s="403"/>
      <c r="O34" s="403"/>
    </row>
    <row r="35" spans="3:15" x14ac:dyDescent="0.25">
      <c r="C35" s="19"/>
      <c r="D35" s="19"/>
      <c r="E35" s="19"/>
      <c r="F35" s="19"/>
      <c r="G35" s="19"/>
      <c r="H35" s="19"/>
      <c r="J35" s="402"/>
      <c r="K35" s="404"/>
      <c r="L35" s="404"/>
      <c r="M35" s="404"/>
      <c r="N35" s="404"/>
      <c r="O35" s="405"/>
    </row>
    <row r="36" spans="3:15" x14ac:dyDescent="0.25">
      <c r="C36" s="19"/>
      <c r="D36" s="19"/>
      <c r="E36" s="19"/>
      <c r="F36" s="19"/>
      <c r="G36" s="19"/>
      <c r="H36" s="19"/>
      <c r="J36" s="402"/>
      <c r="K36" s="404"/>
      <c r="L36" s="404"/>
      <c r="M36" s="404"/>
      <c r="N36" s="404"/>
      <c r="O36" s="405"/>
    </row>
    <row r="37" spans="3:15" x14ac:dyDescent="0.25">
      <c r="C37" s="19"/>
      <c r="D37" s="19"/>
      <c r="E37" s="19"/>
      <c r="F37" s="19"/>
      <c r="G37" s="19"/>
      <c r="H37" s="19"/>
      <c r="J37" s="402"/>
      <c r="K37" s="406"/>
      <c r="L37" s="406"/>
      <c r="M37" s="406"/>
      <c r="N37" s="406"/>
      <c r="O37" s="406"/>
    </row>
    <row r="38" spans="3:15" x14ac:dyDescent="0.25">
      <c r="C38" s="19"/>
      <c r="D38" s="19"/>
      <c r="E38" s="19"/>
      <c r="F38" s="19"/>
      <c r="G38" s="19"/>
      <c r="H38" s="19"/>
    </row>
    <row r="39" spans="3:15" x14ac:dyDescent="0.25">
      <c r="D39" s="11"/>
      <c r="E39" s="14"/>
      <c r="F39" s="14"/>
      <c r="G39" s="14"/>
      <c r="H39" s="11"/>
    </row>
  </sheetData>
  <pageMargins left="0.7" right="0.7" top="0.75" bottom="0.75" header="0.3" footer="0.3"/>
  <ignoredErrors>
    <ignoredError sqref="C30:G3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B2:G27"/>
  <sheetViews>
    <sheetView topLeftCell="A4" zoomScaleNormal="100" workbookViewId="0">
      <selection activeCell="Q35" sqref="Q35"/>
    </sheetView>
  </sheetViews>
  <sheetFormatPr defaultRowHeight="15" x14ac:dyDescent="0.25"/>
  <cols>
    <col min="1" max="1" width="3.140625" customWidth="1"/>
    <col min="2" max="2" width="23.140625" customWidth="1"/>
    <col min="3" max="7" width="9.28515625" bestFit="1" customWidth="1"/>
  </cols>
  <sheetData>
    <row r="2" spans="2:7" x14ac:dyDescent="0.25">
      <c r="B2" s="25" t="s">
        <v>714</v>
      </c>
    </row>
    <row r="3" spans="2:7" x14ac:dyDescent="0.25">
      <c r="B3" s="25" t="s">
        <v>663</v>
      </c>
    </row>
    <row r="5" spans="2:7" x14ac:dyDescent="0.25">
      <c r="B5" t="s">
        <v>59</v>
      </c>
      <c r="C5" s="4">
        <v>2016</v>
      </c>
      <c r="D5" s="4">
        <v>2017</v>
      </c>
      <c r="E5" s="4">
        <v>2018</v>
      </c>
      <c r="F5" s="4">
        <v>2019</v>
      </c>
      <c r="G5" s="4">
        <v>2020</v>
      </c>
    </row>
    <row r="6" spans="2:7" x14ac:dyDescent="0.25">
      <c r="B6" t="s">
        <v>48</v>
      </c>
      <c r="C6" s="6">
        <v>3442.080338226338</v>
      </c>
      <c r="D6" s="6">
        <v>3685.3490137107369</v>
      </c>
      <c r="E6" s="6">
        <v>4025.3648277085163</v>
      </c>
      <c r="F6" s="6">
        <v>4338.0259714694903</v>
      </c>
      <c r="G6" s="6">
        <v>4674.7105202916018</v>
      </c>
    </row>
    <row r="7" spans="2:7" x14ac:dyDescent="0.25">
      <c r="B7" t="s">
        <v>49</v>
      </c>
      <c r="C7" s="6">
        <v>346.25285939029197</v>
      </c>
      <c r="D7" s="6">
        <v>427.65506718848678</v>
      </c>
      <c r="E7" s="6">
        <v>405.5646480129256</v>
      </c>
      <c r="F7" s="6">
        <v>433.33744449094212</v>
      </c>
      <c r="G7" s="6">
        <v>390.80302397260647</v>
      </c>
    </row>
    <row r="8" spans="2:7" x14ac:dyDescent="0.25">
      <c r="B8" t="s">
        <v>51</v>
      </c>
      <c r="C8" s="6">
        <v>80.871582926712421</v>
      </c>
      <c r="D8" s="6">
        <v>86.587173769965545</v>
      </c>
      <c r="E8" s="6">
        <v>94.575835973092452</v>
      </c>
      <c r="F8" s="6">
        <v>101.92180095096268</v>
      </c>
      <c r="G8" s="6">
        <v>109.83219517036096</v>
      </c>
    </row>
    <row r="9" spans="2:7" x14ac:dyDescent="0.25">
      <c r="B9" t="s">
        <v>50</v>
      </c>
      <c r="C9" s="39">
        <v>-183.85576683260552</v>
      </c>
      <c r="D9" s="39">
        <v>-174.22642696067228</v>
      </c>
      <c r="E9" s="39">
        <v>-187.47934022504469</v>
      </c>
      <c r="F9" s="39">
        <v>-198.57469661979289</v>
      </c>
      <c r="G9" s="39">
        <v>-215.32493126140571</v>
      </c>
    </row>
    <row r="10" spans="2:7" x14ac:dyDescent="0.25">
      <c r="B10" t="s">
        <v>52</v>
      </c>
      <c r="C10" s="6">
        <f>SUM(C6:C9)</f>
        <v>3685.3490137107369</v>
      </c>
      <c r="D10" s="6">
        <f>SUM(D6:D9)</f>
        <v>4025.3648277085167</v>
      </c>
      <c r="E10" s="6">
        <f>SUM(E6:E9)</f>
        <v>4338.0259714694903</v>
      </c>
      <c r="F10" s="6">
        <f>SUM(F6:F9)</f>
        <v>4674.7105202916018</v>
      </c>
      <c r="G10" s="6">
        <f>SUM(G6:G9)</f>
        <v>4960.0208081731635</v>
      </c>
    </row>
    <row r="11" spans="2:7" x14ac:dyDescent="0.25">
      <c r="B11" s="139" t="s">
        <v>728</v>
      </c>
    </row>
    <row r="12" spans="2:7" x14ac:dyDescent="0.25">
      <c r="B12" s="139"/>
    </row>
    <row r="13" spans="2:7" x14ac:dyDescent="0.25">
      <c r="B13" s="25" t="s">
        <v>664</v>
      </c>
    </row>
    <row r="14" spans="2:7" x14ac:dyDescent="0.25">
      <c r="B14" t="s">
        <v>59</v>
      </c>
      <c r="C14" s="4">
        <v>2016</v>
      </c>
      <c r="D14" s="4">
        <v>2017</v>
      </c>
      <c r="E14" s="4">
        <v>2018</v>
      </c>
      <c r="F14" s="4">
        <v>2019</v>
      </c>
      <c r="G14" s="4">
        <v>2020</v>
      </c>
    </row>
    <row r="15" spans="2:7" x14ac:dyDescent="0.25">
      <c r="B15" t="s">
        <v>48</v>
      </c>
      <c r="C15" s="660">
        <v>3442.080338226338</v>
      </c>
      <c r="D15" s="660">
        <v>3685.8284719885191</v>
      </c>
      <c r="E15" s="660">
        <v>4025.8454510430406</v>
      </c>
      <c r="F15" s="660">
        <v>4338.5075499391542</v>
      </c>
      <c r="G15" s="660">
        <v>4685.911429749347</v>
      </c>
    </row>
    <row r="16" spans="2:7" x14ac:dyDescent="0.25">
      <c r="B16" t="s">
        <v>49</v>
      </c>
      <c r="C16" s="660">
        <v>346.7323176680743</v>
      </c>
      <c r="D16" s="660">
        <v>427.65506718848678</v>
      </c>
      <c r="E16" s="660">
        <v>405.5646480129256</v>
      </c>
      <c r="F16" s="660">
        <v>443.98700236804297</v>
      </c>
      <c r="G16" s="660">
        <v>427.5439723906992</v>
      </c>
    </row>
    <row r="17" spans="2:7" x14ac:dyDescent="0.25">
      <c r="B17" t="s">
        <v>51</v>
      </c>
      <c r="C17" s="660">
        <v>80.871582926712421</v>
      </c>
      <c r="D17" s="660">
        <v>86.598438629022127</v>
      </c>
      <c r="E17" s="660">
        <v>94.587128205125168</v>
      </c>
      <c r="F17" s="660">
        <v>101.93311562386923</v>
      </c>
      <c r="G17" s="660">
        <v>110.09536023016703</v>
      </c>
    </row>
    <row r="18" spans="2:7" x14ac:dyDescent="0.25">
      <c r="B18" t="s">
        <v>50</v>
      </c>
      <c r="C18" s="731">
        <v>-183.85576683260552</v>
      </c>
      <c r="D18" s="731">
        <v>-174.23652676298713</v>
      </c>
      <c r="E18" s="731">
        <v>-187.48967732193731</v>
      </c>
      <c r="F18" s="731">
        <v>-198.51623818171873</v>
      </c>
      <c r="G18" s="731">
        <v>-215.67628234522462</v>
      </c>
    </row>
    <row r="19" spans="2:7" x14ac:dyDescent="0.25">
      <c r="B19" t="s">
        <v>52</v>
      </c>
      <c r="C19" s="6">
        <f>SUM(C15:C18)</f>
        <v>3685.8284719885191</v>
      </c>
      <c r="D19" s="6">
        <f>SUM(D15:D18)</f>
        <v>4025.8454510430406</v>
      </c>
      <c r="E19" s="6">
        <f>SUM(E15:E18)</f>
        <v>4338.5075499391542</v>
      </c>
      <c r="F19" s="6">
        <f>SUM(F15:F18)</f>
        <v>4685.9114297493479</v>
      </c>
      <c r="G19" s="6">
        <f>SUM(G15:G18)</f>
        <v>5007.8744800249888</v>
      </c>
    </row>
    <row r="21" spans="2:7" x14ac:dyDescent="0.25">
      <c r="B21" s="22" t="s">
        <v>665</v>
      </c>
    </row>
    <row r="22" spans="2:7" x14ac:dyDescent="0.25">
      <c r="B22" t="s">
        <v>59</v>
      </c>
      <c r="C22" s="4">
        <v>2016</v>
      </c>
      <c r="D22" s="4">
        <v>2017</v>
      </c>
      <c r="E22" s="4">
        <v>2018</v>
      </c>
      <c r="F22" s="4">
        <v>2019</v>
      </c>
      <c r="G22" s="4">
        <v>2020</v>
      </c>
    </row>
    <row r="23" spans="2:7" x14ac:dyDescent="0.25">
      <c r="B23" t="s">
        <v>48</v>
      </c>
      <c r="C23" s="14">
        <f t="shared" ref="C23:G27" si="0">C15-C6</f>
        <v>0</v>
      </c>
      <c r="D23" s="14">
        <f t="shared" si="0"/>
        <v>0.47945827778221428</v>
      </c>
      <c r="E23" s="14">
        <f t="shared" si="0"/>
        <v>0.48062333452435269</v>
      </c>
      <c r="F23" s="14">
        <f t="shared" si="0"/>
        <v>0.48157846966387297</v>
      </c>
      <c r="G23" s="14">
        <f t="shared" si="0"/>
        <v>11.200909457745183</v>
      </c>
    </row>
    <row r="24" spans="2:7" x14ac:dyDescent="0.25">
      <c r="B24" t="s">
        <v>49</v>
      </c>
      <c r="C24" s="14">
        <f t="shared" si="0"/>
        <v>0.47945827778232797</v>
      </c>
      <c r="D24" s="14">
        <f t="shared" si="0"/>
        <v>0</v>
      </c>
      <c r="E24" s="14">
        <f t="shared" si="0"/>
        <v>0</v>
      </c>
      <c r="F24" s="14">
        <f t="shared" si="0"/>
        <v>10.649557877100847</v>
      </c>
      <c r="G24" s="14">
        <f t="shared" si="0"/>
        <v>36.740948418092728</v>
      </c>
    </row>
    <row r="25" spans="2:7" x14ac:dyDescent="0.25">
      <c r="B25" t="s">
        <v>51</v>
      </c>
      <c r="C25" s="14">
        <f t="shared" si="0"/>
        <v>0</v>
      </c>
      <c r="D25" s="14">
        <f t="shared" si="0"/>
        <v>1.1264859056581145E-2</v>
      </c>
      <c r="E25" s="14">
        <f t="shared" si="0"/>
        <v>1.1292232032715788E-2</v>
      </c>
      <c r="F25" s="14">
        <f t="shared" si="0"/>
        <v>1.1314672906550527E-2</v>
      </c>
      <c r="G25" s="14">
        <f t="shared" si="0"/>
        <v>0.26316505980607019</v>
      </c>
    </row>
    <row r="26" spans="2:7" x14ac:dyDescent="0.25">
      <c r="B26" t="s">
        <v>50</v>
      </c>
      <c r="C26" s="40">
        <f t="shared" si="0"/>
        <v>0</v>
      </c>
      <c r="D26" s="40">
        <f t="shared" si="0"/>
        <v>-1.0099802314840645E-2</v>
      </c>
      <c r="E26" s="40">
        <f t="shared" si="0"/>
        <v>-1.0337096892612863E-2</v>
      </c>
      <c r="F26" s="40">
        <f t="shared" si="0"/>
        <v>5.8458438074154628E-2</v>
      </c>
      <c r="G26" s="40">
        <f t="shared" si="0"/>
        <v>-0.351351083818912</v>
      </c>
    </row>
    <row r="27" spans="2:7" x14ac:dyDescent="0.25">
      <c r="B27" t="s">
        <v>52</v>
      </c>
      <c r="C27" s="14">
        <f t="shared" si="0"/>
        <v>0.47945827778221428</v>
      </c>
      <c r="D27" s="14">
        <f t="shared" si="0"/>
        <v>0.48062333452389794</v>
      </c>
      <c r="E27" s="14">
        <f t="shared" si="0"/>
        <v>0.48157846966387297</v>
      </c>
      <c r="F27" s="14">
        <f t="shared" si="0"/>
        <v>11.200909457746093</v>
      </c>
      <c r="G27" s="14">
        <f t="shared" si="0"/>
        <v>47.853671851825311</v>
      </c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1:H19"/>
  <sheetViews>
    <sheetView zoomScaleNormal="100" workbookViewId="0">
      <selection activeCell="L22" sqref="L22"/>
    </sheetView>
  </sheetViews>
  <sheetFormatPr defaultRowHeight="15" x14ac:dyDescent="0.25"/>
  <cols>
    <col min="1" max="1" width="2.7109375" customWidth="1"/>
    <col min="2" max="2" width="31.42578125" customWidth="1"/>
  </cols>
  <sheetData>
    <row r="1" spans="2:8" ht="15.75" x14ac:dyDescent="0.25">
      <c r="E1" s="732"/>
    </row>
    <row r="2" spans="2:8" x14ac:dyDescent="0.25">
      <c r="B2" s="25" t="s">
        <v>714</v>
      </c>
    </row>
    <row r="3" spans="2:8" x14ac:dyDescent="0.25">
      <c r="B3" t="s">
        <v>59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t="s">
        <v>6</v>
      </c>
    </row>
    <row r="4" spans="2:8" x14ac:dyDescent="0.25">
      <c r="B4" t="s">
        <v>65</v>
      </c>
      <c r="C4" s="6">
        <v>55.07554746842694</v>
      </c>
      <c r="D4" s="6">
        <v>44.84306586890844</v>
      </c>
      <c r="E4" s="6">
        <v>45.93400389941484</v>
      </c>
      <c r="F4" s="6">
        <v>48.268519018063721</v>
      </c>
      <c r="G4" s="6">
        <v>47.20321455737394</v>
      </c>
      <c r="H4" s="14">
        <f>SUM(C4:G4)</f>
        <v>241.3243508121879</v>
      </c>
    </row>
    <row r="5" spans="2:8" x14ac:dyDescent="0.25">
      <c r="B5" t="s">
        <v>66</v>
      </c>
      <c r="C5" s="39">
        <v>-22.030218987370777</v>
      </c>
      <c r="D5" s="39">
        <v>-17.937226347563378</v>
      </c>
      <c r="E5" s="39">
        <v>-18.373601559765937</v>
      </c>
      <c r="F5" s="39">
        <v>-19.307407607225489</v>
      </c>
      <c r="G5" s="39">
        <v>-18.881285822949575</v>
      </c>
      <c r="H5" s="40">
        <f>SUM(C5:G5)</f>
        <v>-96.529740324875164</v>
      </c>
    </row>
    <row r="6" spans="2:8" x14ac:dyDescent="0.25">
      <c r="B6" t="s">
        <v>6</v>
      </c>
      <c r="C6" s="6">
        <f t="shared" ref="C6:H6" si="0">SUM(C4:C5)</f>
        <v>33.04532848105616</v>
      </c>
      <c r="D6" s="6">
        <f t="shared" si="0"/>
        <v>26.905839521345062</v>
      </c>
      <c r="E6" s="6">
        <f t="shared" si="0"/>
        <v>27.560402339648903</v>
      </c>
      <c r="F6" s="6">
        <f t="shared" si="0"/>
        <v>28.961111410838232</v>
      </c>
      <c r="G6" s="6">
        <f t="shared" si="0"/>
        <v>28.321928734424365</v>
      </c>
      <c r="H6" s="6">
        <f t="shared" si="0"/>
        <v>144.79461048731275</v>
      </c>
    </row>
    <row r="7" spans="2:8" x14ac:dyDescent="0.25">
      <c r="B7" s="139" t="s">
        <v>728</v>
      </c>
    </row>
    <row r="8" spans="2:8" x14ac:dyDescent="0.25">
      <c r="B8" s="139"/>
    </row>
    <row r="9" spans="2:8" x14ac:dyDescent="0.25">
      <c r="B9" s="25" t="s">
        <v>67</v>
      </c>
    </row>
    <row r="10" spans="2:8" x14ac:dyDescent="0.25">
      <c r="B10" t="s">
        <v>59</v>
      </c>
      <c r="C10" s="714">
        <v>2016</v>
      </c>
      <c r="D10" s="714">
        <v>2017</v>
      </c>
      <c r="E10" s="714">
        <v>2018</v>
      </c>
      <c r="F10" s="714">
        <v>2019</v>
      </c>
      <c r="G10" s="714">
        <v>2020</v>
      </c>
      <c r="H10" s="714" t="s">
        <v>6</v>
      </c>
    </row>
    <row r="11" spans="2:8" x14ac:dyDescent="0.25">
      <c r="B11" t="s">
        <v>65</v>
      </c>
      <c r="C11" s="660">
        <v>55.07554746842694</v>
      </c>
      <c r="D11" s="660">
        <v>44.813479694855218</v>
      </c>
      <c r="E11" s="660">
        <v>45.904507313155683</v>
      </c>
      <c r="F11" s="660">
        <v>48.213855606760831</v>
      </c>
      <c r="G11" s="660">
        <v>47.175702390909187</v>
      </c>
      <c r="H11" s="14">
        <f>SUM(C11:G11)</f>
        <v>241.18309247410784</v>
      </c>
    </row>
    <row r="12" spans="2:8" x14ac:dyDescent="0.25">
      <c r="B12" t="s">
        <v>66</v>
      </c>
      <c r="C12" s="731">
        <v>-22.030218987370777</v>
      </c>
      <c r="D12" s="731">
        <v>-17.925391877942086</v>
      </c>
      <c r="E12" s="731">
        <v>-18.361802925262275</v>
      </c>
      <c r="F12" s="731">
        <v>-19.285542242704334</v>
      </c>
      <c r="G12" s="731">
        <v>-18.870280956363676</v>
      </c>
      <c r="H12" s="40">
        <f>SUM(C12:G12)</f>
        <v>-96.473236989643141</v>
      </c>
    </row>
    <row r="13" spans="2:8" x14ac:dyDescent="0.25">
      <c r="B13" t="s">
        <v>6</v>
      </c>
      <c r="C13" s="6">
        <f t="shared" ref="C13:H13" si="1">SUM(C11:C12)</f>
        <v>33.04532848105616</v>
      </c>
      <c r="D13" s="6">
        <f t="shared" si="1"/>
        <v>26.888087816913131</v>
      </c>
      <c r="E13" s="6">
        <f t="shared" si="1"/>
        <v>27.542704387893409</v>
      </c>
      <c r="F13" s="6">
        <f t="shared" si="1"/>
        <v>28.928313364056496</v>
      </c>
      <c r="G13" s="6">
        <f t="shared" si="1"/>
        <v>28.305421434545512</v>
      </c>
      <c r="H13" s="6">
        <f t="shared" si="1"/>
        <v>144.7098554844647</v>
      </c>
    </row>
    <row r="15" spans="2:8" x14ac:dyDescent="0.25">
      <c r="B15" s="22" t="s">
        <v>68</v>
      </c>
    </row>
    <row r="16" spans="2:8" x14ac:dyDescent="0.25">
      <c r="B16" t="s">
        <v>59</v>
      </c>
      <c r="C16" s="714">
        <v>2016</v>
      </c>
      <c r="D16" s="714">
        <v>2017</v>
      </c>
      <c r="E16" s="714">
        <v>2018</v>
      </c>
      <c r="F16" s="714">
        <v>2019</v>
      </c>
      <c r="G16" s="714">
        <v>2020</v>
      </c>
      <c r="H16" s="714" t="s">
        <v>6</v>
      </c>
    </row>
    <row r="17" spans="2:8" x14ac:dyDescent="0.25">
      <c r="B17" t="s">
        <v>65</v>
      </c>
      <c r="C17" s="6">
        <f t="shared" ref="C17:G18" si="2">C11-C4</f>
        <v>0</v>
      </c>
      <c r="D17" s="6">
        <f t="shared" si="2"/>
        <v>-2.9586174053221725E-2</v>
      </c>
      <c r="E17" s="6">
        <f t="shared" si="2"/>
        <v>-2.9496586259156743E-2</v>
      </c>
      <c r="F17" s="6">
        <f t="shared" si="2"/>
        <v>-5.4663411302890097E-2</v>
      </c>
      <c r="G17" s="6">
        <f t="shared" si="2"/>
        <v>-2.7512166464752852E-2</v>
      </c>
      <c r="H17" s="6">
        <f>SUM(C17:G17)</f>
        <v>-0.14125833808002142</v>
      </c>
    </row>
    <row r="18" spans="2:8" x14ac:dyDescent="0.25">
      <c r="B18" t="s">
        <v>66</v>
      </c>
      <c r="C18" s="39">
        <f t="shared" si="2"/>
        <v>0</v>
      </c>
      <c r="D18" s="39">
        <f t="shared" si="2"/>
        <v>1.1834469621291532E-2</v>
      </c>
      <c r="E18" s="39">
        <f t="shared" si="2"/>
        <v>1.1798634503662697E-2</v>
      </c>
      <c r="F18" s="39">
        <f t="shared" si="2"/>
        <v>2.1865364521154618E-2</v>
      </c>
      <c r="G18" s="39">
        <f t="shared" si="2"/>
        <v>1.100486658589972E-2</v>
      </c>
      <c r="H18" s="39">
        <f>SUM(C18:G18)</f>
        <v>5.6503335232008567E-2</v>
      </c>
    </row>
    <row r="19" spans="2:8" x14ac:dyDescent="0.25">
      <c r="B19" t="s">
        <v>6</v>
      </c>
      <c r="C19" s="6">
        <f t="shared" ref="C19:H19" si="3">SUM(C17:C18)</f>
        <v>0</v>
      </c>
      <c r="D19" s="6">
        <f t="shared" si="3"/>
        <v>-1.7751704431930193E-2</v>
      </c>
      <c r="E19" s="6">
        <f t="shared" si="3"/>
        <v>-1.7697951755494046E-2</v>
      </c>
      <c r="F19" s="6">
        <f t="shared" si="3"/>
        <v>-3.2798046781735479E-2</v>
      </c>
      <c r="G19" s="6">
        <f t="shared" si="3"/>
        <v>-1.6507299878853132E-2</v>
      </c>
      <c r="H19" s="6">
        <f t="shared" si="3"/>
        <v>-8.475500284801285E-2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P70"/>
  <sheetViews>
    <sheetView zoomScaleNormal="100" workbookViewId="0">
      <selection activeCell="J16" sqref="J16"/>
    </sheetView>
  </sheetViews>
  <sheetFormatPr defaultRowHeight="15" x14ac:dyDescent="0.25"/>
  <cols>
    <col min="1" max="1" width="4" customWidth="1"/>
    <col min="2" max="2" width="39.7109375" customWidth="1"/>
    <col min="8" max="8" width="9.28515625" bestFit="1" customWidth="1"/>
    <col min="10" max="10" width="42.140625" customWidth="1"/>
  </cols>
  <sheetData>
    <row r="1" spans="2:16" x14ac:dyDescent="0.25">
      <c r="B1" s="25" t="s">
        <v>453</v>
      </c>
    </row>
    <row r="3" spans="2:16" x14ac:dyDescent="0.25">
      <c r="B3" s="25" t="s">
        <v>454</v>
      </c>
      <c r="C3" s="409">
        <v>2016</v>
      </c>
      <c r="D3" s="409">
        <v>2017</v>
      </c>
      <c r="E3" s="409">
        <v>2018</v>
      </c>
      <c r="F3" s="409">
        <v>2019</v>
      </c>
      <c r="G3" s="409">
        <v>2020</v>
      </c>
      <c r="H3" s="409" t="s">
        <v>6</v>
      </c>
      <c r="J3" s="25" t="s">
        <v>459</v>
      </c>
      <c r="K3" s="409">
        <v>2016</v>
      </c>
      <c r="L3" s="409">
        <v>2017</v>
      </c>
      <c r="M3" s="409">
        <v>2018</v>
      </c>
      <c r="N3" s="409">
        <v>2019</v>
      </c>
      <c r="O3" s="409">
        <v>2020</v>
      </c>
      <c r="P3" s="409" t="s">
        <v>6</v>
      </c>
    </row>
    <row r="4" spans="2:16" x14ac:dyDescent="0.25">
      <c r="B4" t="s">
        <v>18</v>
      </c>
      <c r="C4" s="6">
        <v>45.968112685057264</v>
      </c>
      <c r="D4" s="6">
        <v>49.998040007557236</v>
      </c>
      <c r="E4" s="6">
        <v>46.062607374835302</v>
      </c>
      <c r="F4" s="6">
        <v>47.912764965723284</v>
      </c>
      <c r="G4" s="6">
        <v>43.844469431304645</v>
      </c>
      <c r="H4" s="14">
        <f t="shared" ref="H4:H11" si="0">SUM(C4:G4)</f>
        <v>233.78599446447774</v>
      </c>
    </row>
    <row r="5" spans="2:16" x14ac:dyDescent="0.25">
      <c r="B5" t="s">
        <v>19</v>
      </c>
      <c r="C5" s="6">
        <v>256.55716088377756</v>
      </c>
      <c r="D5" s="6">
        <v>270.75483690142318</v>
      </c>
      <c r="E5" s="6">
        <v>264.42631551996362</v>
      </c>
      <c r="F5" s="6">
        <v>255.73958661541312</v>
      </c>
      <c r="G5" s="6">
        <v>251.03690587651178</v>
      </c>
      <c r="H5" s="14">
        <f t="shared" si="0"/>
        <v>1298.5148057970891</v>
      </c>
      <c r="J5" t="s">
        <v>457</v>
      </c>
      <c r="K5" s="6">
        <v>223.33983779974244</v>
      </c>
      <c r="L5" s="6">
        <v>226.835568610819</v>
      </c>
      <c r="M5" s="6">
        <v>232.12571908437201</v>
      </c>
      <c r="N5" s="6">
        <v>236.40378383273199</v>
      </c>
      <c r="O5" s="6">
        <v>241.31714802291501</v>
      </c>
      <c r="P5" s="14">
        <f>SUM(K5:O5)</f>
        <v>1160.0220573505803</v>
      </c>
    </row>
    <row r="6" spans="2:16" x14ac:dyDescent="0.25">
      <c r="B6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4">
        <f t="shared" si="0"/>
        <v>0</v>
      </c>
      <c r="J6" t="s">
        <v>458</v>
      </c>
      <c r="K6" s="6">
        <v>0</v>
      </c>
      <c r="L6" s="6">
        <v>0.61011502385528982</v>
      </c>
      <c r="M6" s="6">
        <v>0.71252208179027643</v>
      </c>
      <c r="N6" s="6">
        <v>0.78298932482447792</v>
      </c>
      <c r="O6" s="6">
        <v>0.72582367047894603</v>
      </c>
      <c r="P6" s="14">
        <f>SUM(K6:O6)</f>
        <v>2.8314501009489907</v>
      </c>
    </row>
    <row r="7" spans="2:16" x14ac:dyDescent="0.25">
      <c r="B7" t="s">
        <v>21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4">
        <f t="shared" si="0"/>
        <v>0</v>
      </c>
      <c r="J7" t="s">
        <v>6</v>
      </c>
      <c r="K7" s="21">
        <f t="shared" ref="K7:P7" si="1">SUM(K5:K6)</f>
        <v>223.33983779974244</v>
      </c>
      <c r="L7" s="21">
        <f t="shared" si="1"/>
        <v>227.44568363467428</v>
      </c>
      <c r="M7" s="21">
        <f t="shared" si="1"/>
        <v>232.83824116616228</v>
      </c>
      <c r="N7" s="21">
        <f t="shared" si="1"/>
        <v>237.18677315755647</v>
      </c>
      <c r="O7" s="21">
        <f t="shared" si="1"/>
        <v>242.04297169339395</v>
      </c>
      <c r="P7" s="21">
        <f t="shared" si="1"/>
        <v>1162.8535074515294</v>
      </c>
    </row>
    <row r="8" spans="2:16" x14ac:dyDescent="0.25">
      <c r="B8" t="s">
        <v>22</v>
      </c>
      <c r="C8" s="6">
        <v>7.0676186105918548</v>
      </c>
      <c r="D8" s="6">
        <v>6.8506149133021621</v>
      </c>
      <c r="E8" s="6">
        <v>4.7431185929478659</v>
      </c>
      <c r="F8" s="6">
        <v>4.6570258549617485</v>
      </c>
      <c r="G8" s="6">
        <v>4.1606481079976545</v>
      </c>
      <c r="H8" s="14">
        <f t="shared" si="0"/>
        <v>27.479026079801287</v>
      </c>
    </row>
    <row r="9" spans="2:16" x14ac:dyDescent="0.25">
      <c r="B9" t="s">
        <v>23</v>
      </c>
      <c r="C9" s="6">
        <v>40.644500479653068</v>
      </c>
      <c r="D9" s="6">
        <v>54.13655604531742</v>
      </c>
      <c r="E9" s="6">
        <v>35.7467063849152</v>
      </c>
      <c r="F9" s="6">
        <v>40.356299247444582</v>
      </c>
      <c r="G9" s="6">
        <v>33.052518502325313</v>
      </c>
      <c r="H9" s="14">
        <f t="shared" si="0"/>
        <v>203.93658065965559</v>
      </c>
      <c r="J9" s="139" t="s">
        <v>468</v>
      </c>
    </row>
    <row r="10" spans="2:16" x14ac:dyDescent="0.25">
      <c r="B10" t="s">
        <v>24</v>
      </c>
      <c r="C10" s="6">
        <v>5.2783165798982452</v>
      </c>
      <c r="D10" s="6">
        <v>5.8246195089499144</v>
      </c>
      <c r="E10" s="6">
        <v>6.0952506966100906</v>
      </c>
      <c r="F10" s="6">
        <v>8.1426519201259122</v>
      </c>
      <c r="G10" s="6">
        <v>7.7626562515413751</v>
      </c>
      <c r="H10" s="14">
        <f t="shared" si="0"/>
        <v>33.103494957125534</v>
      </c>
    </row>
    <row r="11" spans="2:16" x14ac:dyDescent="0.25">
      <c r="B11" t="s">
        <v>211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4">
        <f t="shared" si="0"/>
        <v>0</v>
      </c>
    </row>
    <row r="12" spans="2:16" x14ac:dyDescent="0.25">
      <c r="B12" t="s">
        <v>6</v>
      </c>
      <c r="C12" s="121">
        <f t="shared" ref="C12:H12" si="2">SUM(C4:C11)</f>
        <v>355.51570923897793</v>
      </c>
      <c r="D12" s="121">
        <f t="shared" si="2"/>
        <v>387.56466737654989</v>
      </c>
      <c r="E12" s="121">
        <f t="shared" si="2"/>
        <v>357.07399856927208</v>
      </c>
      <c r="F12" s="121">
        <f t="shared" si="2"/>
        <v>356.80832860366866</v>
      </c>
      <c r="G12" s="121">
        <f t="shared" si="2"/>
        <v>339.85719816968077</v>
      </c>
      <c r="H12" s="121">
        <f t="shared" si="2"/>
        <v>1796.8199019581493</v>
      </c>
    </row>
    <row r="13" spans="2:16" x14ac:dyDescent="0.25">
      <c r="B13" s="199" t="s">
        <v>72</v>
      </c>
      <c r="C13" s="19">
        <f>C12-Capex_by_Purpose!C11/Thousands</f>
        <v>0</v>
      </c>
      <c r="D13" s="19">
        <f>D12-Capex_by_Purpose!D11/Thousands</f>
        <v>0</v>
      </c>
      <c r="E13" s="19">
        <f>E12-Capex_by_Purpose!E11/Thousands</f>
        <v>0</v>
      </c>
      <c r="F13" s="19">
        <f>F12-Capex_by_Purpose!F11/Thousands</f>
        <v>0</v>
      </c>
      <c r="G13" s="19">
        <f>G12-Capex_by_Purpose!G11/Thousands</f>
        <v>0</v>
      </c>
    </row>
    <row r="14" spans="2:16" x14ac:dyDescent="0.25">
      <c r="B14" s="139" t="s">
        <v>456</v>
      </c>
    </row>
    <row r="15" spans="2:16" x14ac:dyDescent="0.25">
      <c r="B15" s="41"/>
    </row>
    <row r="16" spans="2:16" x14ac:dyDescent="0.25">
      <c r="B16" s="22" t="s">
        <v>455</v>
      </c>
    </row>
    <row r="18" spans="2:8" x14ac:dyDescent="0.25">
      <c r="B18" s="25" t="s">
        <v>454</v>
      </c>
      <c r="C18" s="409">
        <v>2016</v>
      </c>
      <c r="D18" s="409">
        <v>2017</v>
      </c>
      <c r="E18" s="409">
        <v>2018</v>
      </c>
      <c r="F18" s="409">
        <v>2019</v>
      </c>
      <c r="G18" s="409">
        <v>2020</v>
      </c>
      <c r="H18" s="409" t="s">
        <v>6</v>
      </c>
    </row>
    <row r="19" spans="2:8" x14ac:dyDescent="0.25">
      <c r="B19" t="s">
        <v>18</v>
      </c>
      <c r="C19" s="6">
        <v>48.651420843402605</v>
      </c>
      <c r="D19" s="6">
        <v>66.179791973733728</v>
      </c>
      <c r="E19" s="6">
        <v>54.698185609811269</v>
      </c>
      <c r="F19" s="6">
        <v>47.978828403830363</v>
      </c>
      <c r="G19" s="6">
        <v>43.844469431304645</v>
      </c>
      <c r="H19" s="14">
        <f t="shared" ref="H19:H26" si="3">SUM(C19:G19)</f>
        <v>261.35269626208265</v>
      </c>
    </row>
    <row r="20" spans="2:8" x14ac:dyDescent="0.25">
      <c r="B20" t="s">
        <v>19</v>
      </c>
      <c r="C20" s="6">
        <v>258.48852640980118</v>
      </c>
      <c r="D20" s="6">
        <v>295.37424082512246</v>
      </c>
      <c r="E20" s="6">
        <v>289.06470554265309</v>
      </c>
      <c r="F20" s="6">
        <v>255.73958661541312</v>
      </c>
      <c r="G20" s="6">
        <v>251.03690587651178</v>
      </c>
      <c r="H20" s="14">
        <f t="shared" si="3"/>
        <v>1349.7039652695016</v>
      </c>
    </row>
    <row r="21" spans="2:8" x14ac:dyDescent="0.25">
      <c r="B21" t="s">
        <v>20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4">
        <f t="shared" si="3"/>
        <v>0</v>
      </c>
    </row>
    <row r="22" spans="2:8" x14ac:dyDescent="0.25">
      <c r="B22" t="s">
        <v>21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4">
        <f t="shared" si="3"/>
        <v>0</v>
      </c>
    </row>
    <row r="23" spans="2:8" x14ac:dyDescent="0.25">
      <c r="B23" t="s">
        <v>22</v>
      </c>
      <c r="C23" s="6">
        <v>9.3897360740177618</v>
      </c>
      <c r="D23" s="6">
        <v>18.949761285291714</v>
      </c>
      <c r="E23" s="6">
        <v>10.474924024540176</v>
      </c>
      <c r="F23" s="6">
        <v>4.7095705321656087</v>
      </c>
      <c r="G23" s="6">
        <v>4.1606481079976545</v>
      </c>
      <c r="H23" s="14">
        <f t="shared" si="3"/>
        <v>47.684640024012907</v>
      </c>
    </row>
    <row r="24" spans="2:8" x14ac:dyDescent="0.25">
      <c r="B24" t="s">
        <v>23</v>
      </c>
      <c r="C24" s="6">
        <v>40.644500479653068</v>
      </c>
      <c r="D24" s="6">
        <v>54.13655604531742</v>
      </c>
      <c r="E24" s="6">
        <v>35.7467063849152</v>
      </c>
      <c r="F24" s="6">
        <v>40.356299247444582</v>
      </c>
      <c r="G24" s="6">
        <v>33.052518502325313</v>
      </c>
      <c r="H24" s="14">
        <f t="shared" si="3"/>
        <v>203.93658065965559</v>
      </c>
    </row>
    <row r="25" spans="2:8" x14ac:dyDescent="0.25">
      <c r="B25" t="s">
        <v>24</v>
      </c>
      <c r="C25" s="6">
        <v>5.2783165798982452</v>
      </c>
      <c r="D25" s="6">
        <v>6.1255858341373424</v>
      </c>
      <c r="E25" s="6">
        <v>6.5733958738108145</v>
      </c>
      <c r="F25" s="6">
        <v>8.1426519201259122</v>
      </c>
      <c r="G25" s="6">
        <v>7.7626562515413751</v>
      </c>
      <c r="H25" s="14">
        <f t="shared" si="3"/>
        <v>33.882606459513688</v>
      </c>
    </row>
    <row r="26" spans="2:8" x14ac:dyDescent="0.25">
      <c r="B26" t="s">
        <v>211</v>
      </c>
      <c r="C26" s="6">
        <v>6.1000306154218576E-4</v>
      </c>
      <c r="D26" s="6">
        <v>3.6710736616359665E-2</v>
      </c>
      <c r="E26" s="6">
        <v>1.7558279692917692E-2</v>
      </c>
      <c r="F26" s="6">
        <v>0</v>
      </c>
      <c r="G26" s="6">
        <v>0</v>
      </c>
      <c r="H26" s="14">
        <f t="shared" si="3"/>
        <v>5.4879019370819543E-2</v>
      </c>
    </row>
    <row r="27" spans="2:8" x14ac:dyDescent="0.25">
      <c r="B27" t="s">
        <v>6</v>
      </c>
      <c r="C27" s="121">
        <f t="shared" ref="C27:H27" si="4">SUM(C19:C26)</f>
        <v>362.45311038983436</v>
      </c>
      <c r="D27" s="121">
        <f t="shared" si="4"/>
        <v>440.80264670021904</v>
      </c>
      <c r="E27" s="121">
        <f t="shared" si="4"/>
        <v>396.57547571542352</v>
      </c>
      <c r="F27" s="121">
        <f t="shared" si="4"/>
        <v>356.92693671897962</v>
      </c>
      <c r="G27" s="121">
        <f t="shared" si="4"/>
        <v>339.85719816968077</v>
      </c>
      <c r="H27" s="121">
        <f t="shared" si="4"/>
        <v>1896.6153676941374</v>
      </c>
    </row>
    <row r="29" spans="2:8" x14ac:dyDescent="0.25">
      <c r="B29" s="139" t="s">
        <v>559</v>
      </c>
    </row>
    <row r="30" spans="2:8" x14ac:dyDescent="0.25">
      <c r="B30" s="41"/>
    </row>
    <row r="31" spans="2:8" x14ac:dyDescent="0.25">
      <c r="B31" s="25" t="s">
        <v>547</v>
      </c>
    </row>
    <row r="32" spans="2:8" x14ac:dyDescent="0.25">
      <c r="B32" t="s">
        <v>540</v>
      </c>
      <c r="C32" s="410">
        <v>2016</v>
      </c>
      <c r="D32" s="410">
        <v>2017</v>
      </c>
      <c r="E32" s="410">
        <v>2018</v>
      </c>
      <c r="F32" s="410">
        <v>2019</v>
      </c>
      <c r="G32" s="410">
        <v>2020</v>
      </c>
      <c r="H32" s="410" t="s">
        <v>6</v>
      </c>
    </row>
    <row r="33" spans="2:8" x14ac:dyDescent="0.25">
      <c r="B33" t="s">
        <v>18</v>
      </c>
      <c r="C33" s="14">
        <f t="shared" ref="C33:G40" si="5">C19-C4</f>
        <v>2.6833081583453406</v>
      </c>
      <c r="D33" s="14">
        <f t="shared" si="5"/>
        <v>16.181751966176492</v>
      </c>
      <c r="E33" s="14">
        <f t="shared" si="5"/>
        <v>8.6355782349759664</v>
      </c>
      <c r="F33" s="14">
        <f t="shared" si="5"/>
        <v>6.6063438107079264E-2</v>
      </c>
      <c r="G33" s="14">
        <f t="shared" si="5"/>
        <v>0</v>
      </c>
      <c r="H33" s="14">
        <f>SUM(C33:G33)</f>
        <v>27.566701797604878</v>
      </c>
    </row>
    <row r="34" spans="2:8" x14ac:dyDescent="0.25">
      <c r="B34" t="s">
        <v>19</v>
      </c>
      <c r="C34" s="14">
        <f t="shared" si="5"/>
        <v>1.931365526023626</v>
      </c>
      <c r="D34" s="14">
        <f t="shared" si="5"/>
        <v>24.619403923699281</v>
      </c>
      <c r="E34" s="14">
        <f t="shared" si="5"/>
        <v>24.638390022689464</v>
      </c>
      <c r="F34" s="14">
        <f t="shared" si="5"/>
        <v>0</v>
      </c>
      <c r="G34" s="14">
        <f t="shared" si="5"/>
        <v>0</v>
      </c>
      <c r="H34" s="14">
        <f t="shared" ref="H34:H40" si="6">SUM(C34:G34)</f>
        <v>51.189159472412371</v>
      </c>
    </row>
    <row r="35" spans="2:8" x14ac:dyDescent="0.25">
      <c r="B35" t="s">
        <v>20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  <c r="H35" s="14">
        <f t="shared" si="6"/>
        <v>0</v>
      </c>
    </row>
    <row r="36" spans="2:8" x14ac:dyDescent="0.25">
      <c r="B36" t="s">
        <v>21</v>
      </c>
      <c r="C36" s="14">
        <f t="shared" si="5"/>
        <v>0</v>
      </c>
      <c r="D36" s="14">
        <f t="shared" si="5"/>
        <v>0</v>
      </c>
      <c r="E36" s="14">
        <f t="shared" si="5"/>
        <v>0</v>
      </c>
      <c r="F36" s="14">
        <f t="shared" si="5"/>
        <v>0</v>
      </c>
      <c r="G36" s="14">
        <f t="shared" si="5"/>
        <v>0</v>
      </c>
      <c r="H36" s="14">
        <f t="shared" si="6"/>
        <v>0</v>
      </c>
    </row>
    <row r="37" spans="2:8" x14ac:dyDescent="0.25">
      <c r="B37" t="s">
        <v>22</v>
      </c>
      <c r="C37" s="14">
        <f t="shared" si="5"/>
        <v>2.322117463425907</v>
      </c>
      <c r="D37" s="14">
        <f t="shared" si="5"/>
        <v>12.099146371989551</v>
      </c>
      <c r="E37" s="14">
        <f t="shared" si="5"/>
        <v>5.7318054315923099</v>
      </c>
      <c r="F37" s="14">
        <f t="shared" si="5"/>
        <v>5.2544677203860246E-2</v>
      </c>
      <c r="G37" s="14">
        <f t="shared" si="5"/>
        <v>0</v>
      </c>
      <c r="H37" s="14">
        <f t="shared" si="6"/>
        <v>20.205613944211628</v>
      </c>
    </row>
    <row r="38" spans="2:8" x14ac:dyDescent="0.25">
      <c r="B38" t="s">
        <v>23</v>
      </c>
      <c r="C38" s="14">
        <f t="shared" si="5"/>
        <v>0</v>
      </c>
      <c r="D38" s="14">
        <f t="shared" si="5"/>
        <v>0</v>
      </c>
      <c r="E38" s="14">
        <f t="shared" si="5"/>
        <v>0</v>
      </c>
      <c r="F38" s="14">
        <f t="shared" si="5"/>
        <v>0</v>
      </c>
      <c r="G38" s="14">
        <f t="shared" si="5"/>
        <v>0</v>
      </c>
      <c r="H38" s="14">
        <f t="shared" si="6"/>
        <v>0</v>
      </c>
    </row>
    <row r="39" spans="2:8" x14ac:dyDescent="0.25">
      <c r="B39" t="s">
        <v>24</v>
      </c>
      <c r="C39" s="14">
        <f t="shared" si="5"/>
        <v>0</v>
      </c>
      <c r="D39" s="14">
        <f t="shared" si="5"/>
        <v>0.30096632518742794</v>
      </c>
      <c r="E39" s="14">
        <f t="shared" si="5"/>
        <v>0.47814517720072391</v>
      </c>
      <c r="F39" s="14">
        <f t="shared" si="5"/>
        <v>0</v>
      </c>
      <c r="G39" s="14">
        <f t="shared" si="5"/>
        <v>0</v>
      </c>
      <c r="H39" s="14">
        <f t="shared" si="6"/>
        <v>0.77911150238815186</v>
      </c>
    </row>
    <row r="40" spans="2:8" x14ac:dyDescent="0.25">
      <c r="B40" t="s">
        <v>211</v>
      </c>
      <c r="C40" s="14">
        <f t="shared" si="5"/>
        <v>6.1000306154218576E-4</v>
      </c>
      <c r="D40" s="11">
        <f t="shared" si="5"/>
        <v>3.6710736616359665E-2</v>
      </c>
      <c r="E40" s="11">
        <f t="shared" si="5"/>
        <v>1.7558279692917692E-2</v>
      </c>
      <c r="F40" s="14">
        <f t="shared" si="5"/>
        <v>0</v>
      </c>
      <c r="G40" s="14">
        <f t="shared" si="5"/>
        <v>0</v>
      </c>
      <c r="H40" s="14">
        <f t="shared" si="6"/>
        <v>5.4879019370819543E-2</v>
      </c>
    </row>
    <row r="41" spans="2:8" x14ac:dyDescent="0.25">
      <c r="B41" t="s">
        <v>541</v>
      </c>
      <c r="C41" s="21">
        <f t="shared" ref="C41:H41" si="7">SUM(C33:C40)</f>
        <v>6.9374011508564157</v>
      </c>
      <c r="D41" s="21">
        <f t="shared" si="7"/>
        <v>53.237979323669109</v>
      </c>
      <c r="E41" s="21">
        <f t="shared" si="7"/>
        <v>39.50147714615138</v>
      </c>
      <c r="F41" s="21">
        <f t="shared" si="7"/>
        <v>0.11860811531093951</v>
      </c>
      <c r="G41" s="21">
        <f t="shared" si="7"/>
        <v>0</v>
      </c>
      <c r="H41" s="21">
        <f t="shared" si="7"/>
        <v>99.795465735987833</v>
      </c>
    </row>
    <row r="43" spans="2:8" x14ac:dyDescent="0.25">
      <c r="B43" s="25" t="s">
        <v>548</v>
      </c>
    </row>
    <row r="44" spans="2:8" x14ac:dyDescent="0.25">
      <c r="B44" s="130" t="s">
        <v>539</v>
      </c>
      <c r="C44" s="444">
        <v>2016</v>
      </c>
      <c r="D44" s="444">
        <v>2017</v>
      </c>
      <c r="E44" s="444">
        <v>2018</v>
      </c>
      <c r="F44" s="444">
        <v>2019</v>
      </c>
      <c r="G44" s="444">
        <v>2020</v>
      </c>
      <c r="H44" s="444" t="s">
        <v>6</v>
      </c>
    </row>
    <row r="45" spans="2:8" x14ac:dyDescent="0.25">
      <c r="B45" t="s">
        <v>18</v>
      </c>
      <c r="C45" s="14">
        <f t="shared" ref="C45:G52" si="8">C33-C57</f>
        <v>2.6129085153712333</v>
      </c>
      <c r="D45" s="14">
        <f t="shared" si="8"/>
        <v>15.761592542065532</v>
      </c>
      <c r="E45" s="14">
        <f t="shared" si="8"/>
        <v>8.4066291724371727</v>
      </c>
      <c r="F45" s="14">
        <f t="shared" si="8"/>
        <v>6.429876359377075E-2</v>
      </c>
      <c r="G45" s="14">
        <f t="shared" si="8"/>
        <v>0</v>
      </c>
      <c r="H45" s="14">
        <f>SUM(C45:G45)</f>
        <v>26.84542899346771</v>
      </c>
    </row>
    <row r="46" spans="2:8" x14ac:dyDescent="0.25">
      <c r="B46" t="s">
        <v>19</v>
      </c>
      <c r="C46" s="14">
        <f t="shared" si="8"/>
        <v>1.8806939536730225</v>
      </c>
      <c r="D46" s="14">
        <f t="shared" si="8"/>
        <v>23.991465642208283</v>
      </c>
      <c r="E46" s="14">
        <f t="shared" si="8"/>
        <v>23.984575322504305</v>
      </c>
      <c r="F46" s="14">
        <f t="shared" si="8"/>
        <v>0</v>
      </c>
      <c r="G46" s="14">
        <f t="shared" si="8"/>
        <v>0</v>
      </c>
      <c r="H46" s="14">
        <f t="shared" ref="H46:H52" si="9">SUM(C46:G46)</f>
        <v>49.856734918385612</v>
      </c>
    </row>
    <row r="47" spans="2:8" x14ac:dyDescent="0.25">
      <c r="B47" t="s">
        <v>20</v>
      </c>
      <c r="C47" s="14">
        <f t="shared" si="8"/>
        <v>0</v>
      </c>
      <c r="D47" s="14">
        <f t="shared" si="8"/>
        <v>0</v>
      </c>
      <c r="E47" s="14">
        <f t="shared" si="8"/>
        <v>0</v>
      </c>
      <c r="F47" s="14">
        <f t="shared" si="8"/>
        <v>0</v>
      </c>
      <c r="G47" s="14">
        <f t="shared" si="8"/>
        <v>0</v>
      </c>
      <c r="H47" s="14">
        <f t="shared" si="9"/>
        <v>0</v>
      </c>
    </row>
    <row r="48" spans="2:8" x14ac:dyDescent="0.25">
      <c r="B48" t="s">
        <v>21</v>
      </c>
      <c r="C48" s="14">
        <f t="shared" si="8"/>
        <v>0</v>
      </c>
      <c r="D48" s="14">
        <f t="shared" si="8"/>
        <v>0</v>
      </c>
      <c r="E48" s="14">
        <f t="shared" si="8"/>
        <v>0</v>
      </c>
      <c r="F48" s="14">
        <f t="shared" si="8"/>
        <v>0</v>
      </c>
      <c r="G48" s="14">
        <f t="shared" si="8"/>
        <v>0</v>
      </c>
      <c r="H48" s="14">
        <f t="shared" si="9"/>
        <v>0</v>
      </c>
    </row>
    <row r="49" spans="2:8" x14ac:dyDescent="0.25">
      <c r="B49" t="s">
        <v>22</v>
      </c>
      <c r="C49" s="14">
        <f t="shared" si="8"/>
        <v>2.261194069345843</v>
      </c>
      <c r="D49" s="14">
        <f t="shared" si="8"/>
        <v>11.784965580439852</v>
      </c>
      <c r="E49" s="14">
        <f t="shared" si="8"/>
        <v>5.5798420720453183</v>
      </c>
      <c r="F49" s="14">
        <f t="shared" si="8"/>
        <v>5.1141113366910365E-2</v>
      </c>
      <c r="G49" s="14">
        <f t="shared" si="8"/>
        <v>0</v>
      </c>
      <c r="H49" s="14">
        <f t="shared" si="9"/>
        <v>19.677142835197923</v>
      </c>
    </row>
    <row r="50" spans="2:8" x14ac:dyDescent="0.25">
      <c r="B50" t="s">
        <v>23</v>
      </c>
      <c r="C50" s="14">
        <f t="shared" si="8"/>
        <v>0</v>
      </c>
      <c r="D50" s="14">
        <f t="shared" si="8"/>
        <v>0</v>
      </c>
      <c r="E50" s="14">
        <f t="shared" si="8"/>
        <v>0</v>
      </c>
      <c r="F50" s="14">
        <f t="shared" si="8"/>
        <v>0</v>
      </c>
      <c r="G50" s="14">
        <f t="shared" si="8"/>
        <v>0</v>
      </c>
      <c r="H50" s="14">
        <f t="shared" si="9"/>
        <v>0</v>
      </c>
    </row>
    <row r="51" spans="2:8" x14ac:dyDescent="0.25">
      <c r="B51" t="s">
        <v>24</v>
      </c>
      <c r="C51" s="14">
        <f t="shared" si="8"/>
        <v>0</v>
      </c>
      <c r="D51" s="14">
        <f t="shared" si="8"/>
        <v>0.30096632518742794</v>
      </c>
      <c r="E51" s="14">
        <f t="shared" si="8"/>
        <v>0.47814517720072391</v>
      </c>
      <c r="F51" s="14">
        <f t="shared" si="8"/>
        <v>0</v>
      </c>
      <c r="G51" s="14">
        <f t="shared" si="8"/>
        <v>0</v>
      </c>
      <c r="H51" s="14">
        <f t="shared" si="9"/>
        <v>0.77911150238815186</v>
      </c>
    </row>
    <row r="52" spans="2:8" x14ac:dyDescent="0.25">
      <c r="B52" t="s">
        <v>211</v>
      </c>
      <c r="C52" s="14">
        <f t="shared" si="8"/>
        <v>6.1000306154218576E-4</v>
      </c>
      <c r="D52" s="11">
        <f t="shared" si="8"/>
        <v>3.6710736616359665E-2</v>
      </c>
      <c r="E52" s="11">
        <f t="shared" si="8"/>
        <v>1.7558279692917692E-2</v>
      </c>
      <c r="F52" s="14">
        <f t="shared" si="8"/>
        <v>0</v>
      </c>
      <c r="G52" s="14">
        <f t="shared" si="8"/>
        <v>0</v>
      </c>
      <c r="H52" s="14">
        <f t="shared" si="9"/>
        <v>5.4879019370819543E-2</v>
      </c>
    </row>
    <row r="53" spans="2:8" x14ac:dyDescent="0.25">
      <c r="B53" t="s">
        <v>542</v>
      </c>
      <c r="C53" s="21">
        <f t="shared" ref="C53:H53" si="10">SUM(C45:C52)</f>
        <v>6.7554065414516415</v>
      </c>
      <c r="D53" s="21">
        <f t="shared" si="10"/>
        <v>51.875700826517445</v>
      </c>
      <c r="E53" s="21">
        <f t="shared" si="10"/>
        <v>38.466750023880437</v>
      </c>
      <c r="F53" s="21">
        <f t="shared" si="10"/>
        <v>0.11543987696068111</v>
      </c>
      <c r="G53" s="21">
        <f t="shared" si="10"/>
        <v>0</v>
      </c>
      <c r="H53" s="21">
        <f t="shared" si="10"/>
        <v>97.213297268810209</v>
      </c>
    </row>
    <row r="55" spans="2:8" x14ac:dyDescent="0.25">
      <c r="B55" s="25" t="s">
        <v>549</v>
      </c>
    </row>
    <row r="56" spans="2:8" x14ac:dyDescent="0.25">
      <c r="B56" s="130" t="s">
        <v>545</v>
      </c>
      <c r="C56" s="444">
        <v>2016</v>
      </c>
      <c r="D56" s="444">
        <v>2017</v>
      </c>
      <c r="E56" s="444">
        <v>2018</v>
      </c>
      <c r="F56" s="444">
        <v>2019</v>
      </c>
      <c r="G56" s="444">
        <v>2020</v>
      </c>
      <c r="H56" s="444" t="s">
        <v>6</v>
      </c>
    </row>
    <row r="57" spans="2:8" x14ac:dyDescent="0.25">
      <c r="B57" t="s">
        <v>18</v>
      </c>
      <c r="C57" s="14">
        <v>7.0399642974107488E-2</v>
      </c>
      <c r="D57" s="14">
        <v>0.4201594241109588</v>
      </c>
      <c r="E57" s="14">
        <v>0.22894906253879416</v>
      </c>
      <c r="F57" s="14">
        <v>1.7646745133085106E-3</v>
      </c>
      <c r="G57" s="14">
        <v>0</v>
      </c>
      <c r="H57" s="14">
        <f>SUM(C57:G57)</f>
        <v>0.72127280413716899</v>
      </c>
    </row>
    <row r="58" spans="2:8" x14ac:dyDescent="0.25">
      <c r="B58" t="s">
        <v>19</v>
      </c>
      <c r="C58" s="14">
        <v>5.0671572350603586E-2</v>
      </c>
      <c r="D58" s="14">
        <v>0.62793828149099828</v>
      </c>
      <c r="E58" s="14">
        <v>0.65381470018516008</v>
      </c>
      <c r="F58" s="14">
        <v>0</v>
      </c>
      <c r="G58" s="14">
        <v>0</v>
      </c>
      <c r="H58" s="14">
        <f t="shared" ref="H58:H64" si="11">SUM(C58:G58)</f>
        <v>1.3324245540267619</v>
      </c>
    </row>
    <row r="59" spans="2:8" x14ac:dyDescent="0.25">
      <c r="B59" t="s">
        <v>20</v>
      </c>
      <c r="C59" s="14"/>
      <c r="D59" s="14"/>
      <c r="E59" s="14"/>
      <c r="F59" s="14"/>
      <c r="G59" s="14"/>
      <c r="H59" s="14">
        <f t="shared" si="11"/>
        <v>0</v>
      </c>
    </row>
    <row r="60" spans="2:8" x14ac:dyDescent="0.25">
      <c r="B60" t="s">
        <v>21</v>
      </c>
      <c r="C60" s="14"/>
      <c r="D60" s="14"/>
      <c r="E60" s="14"/>
      <c r="F60" s="14"/>
      <c r="G60" s="14"/>
      <c r="H60" s="14">
        <f t="shared" si="11"/>
        <v>0</v>
      </c>
    </row>
    <row r="61" spans="2:8" x14ac:dyDescent="0.25">
      <c r="B61" t="s">
        <v>22</v>
      </c>
      <c r="C61" s="14">
        <v>6.0923394080063968E-2</v>
      </c>
      <c r="D61" s="14">
        <v>0.31418079154969819</v>
      </c>
      <c r="E61" s="14">
        <v>0.15196335954699156</v>
      </c>
      <c r="F61" s="14">
        <v>1.4035638369498814E-3</v>
      </c>
      <c r="G61" s="14">
        <v>0</v>
      </c>
      <c r="H61" s="14">
        <f t="shared" si="11"/>
        <v>0.52847110901370353</v>
      </c>
    </row>
    <row r="62" spans="2:8" x14ac:dyDescent="0.25">
      <c r="B62" t="s">
        <v>23</v>
      </c>
      <c r="C62" s="14"/>
      <c r="D62" s="14"/>
      <c r="E62" s="14"/>
      <c r="F62" s="14"/>
      <c r="G62" s="14"/>
      <c r="H62" s="14">
        <f t="shared" si="11"/>
        <v>0</v>
      </c>
    </row>
    <row r="63" spans="2:8" x14ac:dyDescent="0.25">
      <c r="B63" t="s">
        <v>24</v>
      </c>
      <c r="C63" s="14"/>
      <c r="D63" s="14"/>
      <c r="E63" s="14"/>
      <c r="F63" s="14"/>
      <c r="G63" s="14"/>
      <c r="H63" s="14">
        <f t="shared" si="11"/>
        <v>0</v>
      </c>
    </row>
    <row r="64" spans="2:8" x14ac:dyDescent="0.25">
      <c r="B64" t="s">
        <v>211</v>
      </c>
      <c r="C64" s="14"/>
      <c r="D64" s="14"/>
      <c r="E64" s="14"/>
      <c r="F64" s="14"/>
      <c r="G64" s="14"/>
      <c r="H64" s="14">
        <f t="shared" si="11"/>
        <v>0</v>
      </c>
    </row>
    <row r="65" spans="2:8" x14ac:dyDescent="0.25">
      <c r="B65" t="s">
        <v>546</v>
      </c>
      <c r="C65" s="21">
        <f t="shared" ref="C65:H65" si="12">SUM(C57:C64)</f>
        <v>0.18199460940477505</v>
      </c>
      <c r="D65" s="21">
        <f t="shared" si="12"/>
        <v>1.3622784971516553</v>
      </c>
      <c r="E65" s="21">
        <f t="shared" si="12"/>
        <v>1.0347271222709458</v>
      </c>
      <c r="F65" s="21">
        <f t="shared" si="12"/>
        <v>3.168238350258392E-3</v>
      </c>
      <c r="G65" s="21">
        <f t="shared" si="12"/>
        <v>0</v>
      </c>
      <c r="H65" s="21">
        <f t="shared" si="12"/>
        <v>2.5821684671776346</v>
      </c>
    </row>
    <row r="67" spans="2:8" x14ac:dyDescent="0.25">
      <c r="B67" t="s">
        <v>550</v>
      </c>
      <c r="C67" s="14">
        <f>SUM(C57:C61)</f>
        <v>0.18199460940477505</v>
      </c>
      <c r="D67" s="14">
        <f>SUM(D57:D61)</f>
        <v>1.3622784971516553</v>
      </c>
      <c r="E67" s="14">
        <f>SUM(E57:E61)</f>
        <v>1.0347271222709458</v>
      </c>
      <c r="F67" s="14">
        <f>SUM(F57:F61)</f>
        <v>3.168238350258392E-3</v>
      </c>
      <c r="G67" s="14">
        <f>SUM(G57:G61)</f>
        <v>0</v>
      </c>
      <c r="H67" s="14">
        <f>SUM(C67:G67)</f>
        <v>2.5821684671776346</v>
      </c>
    </row>
    <row r="68" spans="2:8" x14ac:dyDescent="0.25">
      <c r="B68" t="s">
        <v>551</v>
      </c>
      <c r="C68" s="11">
        <f>C62</f>
        <v>0</v>
      </c>
      <c r="D68" s="11">
        <f>D62</f>
        <v>0</v>
      </c>
      <c r="E68" s="11">
        <f>E62</f>
        <v>0</v>
      </c>
      <c r="F68" s="11">
        <f>F62</f>
        <v>0</v>
      </c>
      <c r="G68" s="11">
        <f>G62</f>
        <v>0</v>
      </c>
      <c r="H68" s="11">
        <f>SUM(C68:G68)</f>
        <v>0</v>
      </c>
    </row>
    <row r="70" spans="2:8" x14ac:dyDescent="0.25">
      <c r="C70" s="11"/>
      <c r="D70" s="11"/>
      <c r="E70" s="11"/>
      <c r="F70" s="11"/>
      <c r="G70" s="11"/>
    </row>
  </sheetData>
  <pageMargins left="0.7" right="0.7" top="0.75" bottom="0.75" header="0.3" footer="0.3"/>
  <pageSetup paperSize="9" orientation="portrait" verticalDpi="0" r:id="rId1"/>
  <ignoredErrors>
    <ignoredError sqref="C12:G12 C27:G27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workbookViewId="0">
      <selection activeCell="E31" sqref="E31"/>
    </sheetView>
  </sheetViews>
  <sheetFormatPr defaultRowHeight="15" x14ac:dyDescent="0.25"/>
  <cols>
    <col min="1" max="1" width="4.5703125" customWidth="1"/>
    <col min="2" max="2" width="34.42578125" customWidth="1"/>
  </cols>
  <sheetData>
    <row r="2" spans="2:8" x14ac:dyDescent="0.25">
      <c r="B2" s="22" t="s">
        <v>715</v>
      </c>
    </row>
    <row r="4" spans="2:8" x14ac:dyDescent="0.25">
      <c r="B4" s="25" t="s">
        <v>454</v>
      </c>
      <c r="C4" s="703">
        <v>2016</v>
      </c>
      <c r="D4" s="703">
        <v>2017</v>
      </c>
      <c r="E4" s="703">
        <v>2018</v>
      </c>
      <c r="F4" s="703">
        <v>2019</v>
      </c>
      <c r="G4" s="703">
        <v>2020</v>
      </c>
      <c r="H4" s="703" t="s">
        <v>6</v>
      </c>
    </row>
    <row r="5" spans="2:8" x14ac:dyDescent="0.25">
      <c r="B5" t="s">
        <v>18</v>
      </c>
      <c r="C5" s="6">
        <v>48.651420843402605</v>
      </c>
      <c r="D5" s="6">
        <v>66.179791973733728</v>
      </c>
      <c r="E5" s="6">
        <v>58.954487107836322</v>
      </c>
      <c r="F5" s="6">
        <v>67.414006980682686</v>
      </c>
      <c r="G5" s="6">
        <v>50.007216467631643</v>
      </c>
      <c r="H5" s="14">
        <f>SUM(C5:G5)</f>
        <v>291.20692337328694</v>
      </c>
    </row>
    <row r="6" spans="2:8" x14ac:dyDescent="0.25">
      <c r="B6" t="s">
        <v>19</v>
      </c>
      <c r="C6" s="6">
        <v>258.48852640980118</v>
      </c>
      <c r="D6" s="6">
        <v>295.37424082512246</v>
      </c>
      <c r="E6" s="6">
        <v>298.03422915206306</v>
      </c>
      <c r="F6" s="6">
        <v>284.87745328407027</v>
      </c>
      <c r="G6" s="6">
        <v>279.0809026133021</v>
      </c>
      <c r="H6" s="14">
        <f t="shared" ref="H6:H12" si="0">SUM(C6:G6)</f>
        <v>1415.855352284359</v>
      </c>
    </row>
    <row r="7" spans="2:8" x14ac:dyDescent="0.25">
      <c r="B7" t="s">
        <v>20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4">
        <f t="shared" si="0"/>
        <v>0</v>
      </c>
    </row>
    <row r="8" spans="2:8" x14ac:dyDescent="0.25">
      <c r="B8" t="s">
        <v>21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4">
        <f t="shared" si="0"/>
        <v>0</v>
      </c>
    </row>
    <row r="9" spans="2:8" x14ac:dyDescent="0.25">
      <c r="B9" t="s">
        <v>22</v>
      </c>
      <c r="C9" s="6">
        <v>9.3897360740177618</v>
      </c>
      <c r="D9" s="6">
        <v>18.949761285291714</v>
      </c>
      <c r="E9" s="6">
        <v>13.666491633929128</v>
      </c>
      <c r="F9" s="6">
        <v>26.256443511950181</v>
      </c>
      <c r="G9" s="6">
        <v>10.307237193679041</v>
      </c>
      <c r="H9" s="14">
        <f t="shared" si="0"/>
        <v>78.569669698867827</v>
      </c>
    </row>
    <row r="10" spans="2:8" x14ac:dyDescent="0.25">
      <c r="B10" t="s">
        <v>23</v>
      </c>
      <c r="C10" s="6">
        <v>40.644500479653068</v>
      </c>
      <c r="D10" s="6">
        <v>54.13655604531742</v>
      </c>
      <c r="E10" s="6">
        <v>35.7467063849152</v>
      </c>
      <c r="F10" s="6">
        <v>40.356299247444582</v>
      </c>
      <c r="G10" s="6">
        <v>33.052518502325313</v>
      </c>
      <c r="H10" s="14">
        <f t="shared" si="0"/>
        <v>203.93658065965559</v>
      </c>
    </row>
    <row r="11" spans="2:8" x14ac:dyDescent="0.25">
      <c r="B11" t="s">
        <v>24</v>
      </c>
      <c r="C11" s="6">
        <v>5.2783165798982452</v>
      </c>
      <c r="D11" s="6">
        <v>6.1255858341373424</v>
      </c>
      <c r="E11" s="6">
        <v>6.5733958738108145</v>
      </c>
      <c r="F11" s="6">
        <v>8.6534097061724236</v>
      </c>
      <c r="G11" s="6">
        <v>9.29492960968091</v>
      </c>
      <c r="H11" s="14">
        <f t="shared" si="0"/>
        <v>35.925637603699741</v>
      </c>
    </row>
    <row r="12" spans="2:8" x14ac:dyDescent="0.25">
      <c r="B12" t="s">
        <v>211</v>
      </c>
      <c r="C12" s="6">
        <v>6.1000306154218576E-4</v>
      </c>
      <c r="D12" s="6">
        <v>3.6710736616359665E-2</v>
      </c>
      <c r="E12" s="6">
        <v>1.7558279692917692E-2</v>
      </c>
      <c r="F12" s="6">
        <v>0</v>
      </c>
      <c r="G12" s="6">
        <v>0</v>
      </c>
      <c r="H12" s="14">
        <f t="shared" si="0"/>
        <v>5.4879019370819543E-2</v>
      </c>
    </row>
    <row r="13" spans="2:8" x14ac:dyDescent="0.25">
      <c r="B13" t="s">
        <v>6</v>
      </c>
      <c r="C13" s="21">
        <f t="shared" ref="C13:H13" si="1">SUM(C5:C12)</f>
        <v>362.45311038983436</v>
      </c>
      <c r="D13" s="21">
        <f t="shared" si="1"/>
        <v>440.80264670021904</v>
      </c>
      <c r="E13" s="21">
        <f t="shared" si="1"/>
        <v>412.99286843224741</v>
      </c>
      <c r="F13" s="21">
        <f t="shared" si="1"/>
        <v>427.5576127303201</v>
      </c>
      <c r="G13" s="21">
        <f t="shared" si="1"/>
        <v>381.74280438661901</v>
      </c>
      <c r="H13" s="21">
        <f t="shared" si="1"/>
        <v>2025.5490426392398</v>
      </c>
    </row>
    <row r="14" spans="2:8" x14ac:dyDescent="0.25">
      <c r="B14" s="54" t="s">
        <v>717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2:8" x14ac:dyDescent="0.25">
      <c r="B15" s="139" t="s">
        <v>716</v>
      </c>
    </row>
    <row r="16" spans="2:8" x14ac:dyDescent="0.25">
      <c r="B16" s="139"/>
    </row>
    <row r="17" spans="2:8" x14ac:dyDescent="0.25">
      <c r="B17" s="25" t="s">
        <v>718</v>
      </c>
    </row>
    <row r="18" spans="2:8" x14ac:dyDescent="0.25">
      <c r="B18" t="s">
        <v>540</v>
      </c>
      <c r="C18" s="703">
        <v>2016</v>
      </c>
      <c r="D18" s="703">
        <v>2017</v>
      </c>
      <c r="E18" s="703">
        <v>2018</v>
      </c>
      <c r="F18" s="703">
        <v>2019</v>
      </c>
      <c r="G18" s="703">
        <v>2020</v>
      </c>
      <c r="H18" s="703" t="s">
        <v>6</v>
      </c>
    </row>
    <row r="19" spans="2:8" x14ac:dyDescent="0.25">
      <c r="B19" t="s">
        <v>18</v>
      </c>
      <c r="C19" s="19">
        <f>C5-T1_Allowance!C19</f>
        <v>0</v>
      </c>
      <c r="D19" s="19">
        <f>D5-T1_Allowance!D19</f>
        <v>0</v>
      </c>
      <c r="E19" s="19">
        <f>E5-T1_Allowance!E19</f>
        <v>4.2563014980250529</v>
      </c>
      <c r="F19" s="19">
        <f>F5-T1_Allowance!F19</f>
        <v>19.435178576852323</v>
      </c>
      <c r="G19" s="19">
        <f>G5-T1_Allowance!G19</f>
        <v>6.1627470363269978</v>
      </c>
      <c r="H19" s="14">
        <f t="shared" ref="H19:H26" si="2">SUM(C19:G19)</f>
        <v>29.854227111204374</v>
      </c>
    </row>
    <row r="20" spans="2:8" x14ac:dyDescent="0.25">
      <c r="B20" t="s">
        <v>19</v>
      </c>
      <c r="C20" s="19">
        <f>C6-T1_Allowance!C20</f>
        <v>0</v>
      </c>
      <c r="D20" s="19">
        <f>D6-T1_Allowance!D20</f>
        <v>0</v>
      </c>
      <c r="E20" s="19">
        <f>E6-T1_Allowance!E20</f>
        <v>8.9695236094099755</v>
      </c>
      <c r="F20" s="19">
        <f>F6-T1_Allowance!F20</f>
        <v>29.137866668657153</v>
      </c>
      <c r="G20" s="19">
        <f>G6-T1_Allowance!G20</f>
        <v>28.043996736790319</v>
      </c>
      <c r="H20" s="14">
        <f t="shared" si="2"/>
        <v>66.151387014857448</v>
      </c>
    </row>
    <row r="21" spans="2:8" x14ac:dyDescent="0.25">
      <c r="B21" t="s">
        <v>20</v>
      </c>
      <c r="C21" s="19">
        <f>C7-T1_Allowance!C21</f>
        <v>0</v>
      </c>
      <c r="D21" s="19">
        <f>D7-T1_Allowance!D21</f>
        <v>0</v>
      </c>
      <c r="E21" s="19">
        <f>E7-T1_Allowance!E21</f>
        <v>0</v>
      </c>
      <c r="F21" s="19">
        <f>F7-T1_Allowance!F21</f>
        <v>0</v>
      </c>
      <c r="G21" s="19">
        <f>G7-T1_Allowance!G21</f>
        <v>0</v>
      </c>
      <c r="H21" s="14">
        <f t="shared" si="2"/>
        <v>0</v>
      </c>
    </row>
    <row r="22" spans="2:8" x14ac:dyDescent="0.25">
      <c r="B22" t="s">
        <v>21</v>
      </c>
      <c r="C22" s="19">
        <f>C8-T1_Allowance!C22</f>
        <v>0</v>
      </c>
      <c r="D22" s="19">
        <f>D8-T1_Allowance!D22</f>
        <v>0</v>
      </c>
      <c r="E22" s="19">
        <f>E8-T1_Allowance!E22</f>
        <v>0</v>
      </c>
      <c r="F22" s="19">
        <f>F8-T1_Allowance!F22</f>
        <v>0</v>
      </c>
      <c r="G22" s="19">
        <f>G8-T1_Allowance!G22</f>
        <v>0</v>
      </c>
      <c r="H22" s="14">
        <f t="shared" si="2"/>
        <v>0</v>
      </c>
    </row>
    <row r="23" spans="2:8" x14ac:dyDescent="0.25">
      <c r="B23" t="s">
        <v>22</v>
      </c>
      <c r="C23" s="19">
        <f>C9-T1_Allowance!C23</f>
        <v>0</v>
      </c>
      <c r="D23" s="19">
        <f>D9-T1_Allowance!D23</f>
        <v>0</v>
      </c>
      <c r="E23" s="19">
        <f>E9-T1_Allowance!E23</f>
        <v>3.1915676093889527</v>
      </c>
      <c r="F23" s="19">
        <f>F9-T1_Allowance!F23</f>
        <v>21.546872979784574</v>
      </c>
      <c r="G23" s="19">
        <f>G9-T1_Allowance!G23</f>
        <v>6.146589085681387</v>
      </c>
      <c r="H23" s="14">
        <f t="shared" si="2"/>
        <v>30.885029674854916</v>
      </c>
    </row>
    <row r="24" spans="2:8" x14ac:dyDescent="0.25">
      <c r="B24" t="s">
        <v>23</v>
      </c>
      <c r="C24" s="19">
        <f>C10-T1_Allowance!C24</f>
        <v>0</v>
      </c>
      <c r="D24" s="19">
        <f>D10-T1_Allowance!D24</f>
        <v>0</v>
      </c>
      <c r="E24" s="19">
        <f>E10-T1_Allowance!E24</f>
        <v>0</v>
      </c>
      <c r="F24" s="19">
        <f>F10-T1_Allowance!F24</f>
        <v>0</v>
      </c>
      <c r="G24" s="19">
        <f>G10-T1_Allowance!G24</f>
        <v>0</v>
      </c>
      <c r="H24" s="14">
        <f t="shared" si="2"/>
        <v>0</v>
      </c>
    </row>
    <row r="25" spans="2:8" x14ac:dyDescent="0.25">
      <c r="B25" t="s">
        <v>24</v>
      </c>
      <c r="C25" s="19">
        <f>C11-T1_Allowance!C25</f>
        <v>0</v>
      </c>
      <c r="D25" s="19">
        <f>D11-T1_Allowance!D25</f>
        <v>0</v>
      </c>
      <c r="E25" s="19">
        <f>E11-T1_Allowance!E25</f>
        <v>0</v>
      </c>
      <c r="F25" s="19">
        <f>F11-T1_Allowance!F25</f>
        <v>0.51075778604651134</v>
      </c>
      <c r="G25" s="19">
        <f>G11-T1_Allowance!G25</f>
        <v>1.5322733581395349</v>
      </c>
      <c r="H25" s="14">
        <f t="shared" si="2"/>
        <v>2.0430311441860463</v>
      </c>
    </row>
    <row r="26" spans="2:8" x14ac:dyDescent="0.25">
      <c r="B26" t="s">
        <v>211</v>
      </c>
      <c r="C26" s="19">
        <f>C12-T1_Allowance!C26</f>
        <v>0</v>
      </c>
      <c r="D26" s="19">
        <f>D12-T1_Allowance!D26</f>
        <v>0</v>
      </c>
      <c r="E26" s="19">
        <f>E12-T1_Allowance!E26</f>
        <v>0</v>
      </c>
      <c r="F26" s="19">
        <f>F12-T1_Allowance!F26</f>
        <v>0</v>
      </c>
      <c r="G26" s="19">
        <f>G12-T1_Allowance!G26</f>
        <v>0</v>
      </c>
      <c r="H26" s="14">
        <f t="shared" si="2"/>
        <v>0</v>
      </c>
    </row>
    <row r="27" spans="2:8" x14ac:dyDescent="0.25">
      <c r="B27" t="s">
        <v>6</v>
      </c>
      <c r="C27" s="21">
        <f t="shared" ref="C27:H27" si="3">SUM(C19:C26)</f>
        <v>0</v>
      </c>
      <c r="D27" s="21">
        <f t="shared" si="3"/>
        <v>0</v>
      </c>
      <c r="E27" s="21">
        <f t="shared" si="3"/>
        <v>16.417392716823983</v>
      </c>
      <c r="F27" s="21">
        <f t="shared" si="3"/>
        <v>70.630676011340555</v>
      </c>
      <c r="G27" s="21">
        <f t="shared" si="3"/>
        <v>41.885606216938235</v>
      </c>
      <c r="H27" s="21">
        <f t="shared" si="3"/>
        <v>128.93367494510281</v>
      </c>
    </row>
    <row r="29" spans="2:8" x14ac:dyDescent="0.25">
      <c r="B29" s="25" t="s">
        <v>719</v>
      </c>
    </row>
    <row r="30" spans="2:8" x14ac:dyDescent="0.25">
      <c r="B30" s="130" t="s">
        <v>539</v>
      </c>
      <c r="C30" s="703">
        <v>2016</v>
      </c>
      <c r="D30" s="703">
        <v>2017</v>
      </c>
      <c r="E30" s="703">
        <v>2018</v>
      </c>
      <c r="F30" s="703">
        <v>2019</v>
      </c>
      <c r="G30" s="703">
        <v>2020</v>
      </c>
      <c r="H30" s="703" t="s">
        <v>6</v>
      </c>
    </row>
    <row r="31" spans="2:8" x14ac:dyDescent="0.25">
      <c r="B31" t="s">
        <v>18</v>
      </c>
      <c r="C31" s="19">
        <f t="shared" ref="C31:G38" si="4">C19-C43</f>
        <v>0</v>
      </c>
      <c r="D31" s="19">
        <f t="shared" si="4"/>
        <v>0</v>
      </c>
      <c r="E31" s="19">
        <f t="shared" si="4"/>
        <v>4.1434494718761323</v>
      </c>
      <c r="F31" s="19">
        <f t="shared" si="4"/>
        <v>18.91602963034163</v>
      </c>
      <c r="G31" s="19">
        <f t="shared" si="4"/>
        <v>5.9931046401062726</v>
      </c>
      <c r="H31" s="14">
        <f t="shared" ref="H31:H38" si="5">SUM(C31:G31)</f>
        <v>29.052583742324032</v>
      </c>
    </row>
    <row r="32" spans="2:8" x14ac:dyDescent="0.25">
      <c r="B32" t="s">
        <v>19</v>
      </c>
      <c r="C32" s="19">
        <f t="shared" si="4"/>
        <v>0</v>
      </c>
      <c r="D32" s="19">
        <f t="shared" si="4"/>
        <v>0</v>
      </c>
      <c r="E32" s="19">
        <f t="shared" si="4"/>
        <v>8.7356185317233681</v>
      </c>
      <c r="F32" s="19">
        <f t="shared" si="4"/>
        <v>28.358191439533933</v>
      </c>
      <c r="G32" s="19">
        <f t="shared" si="4"/>
        <v>27.269333250112844</v>
      </c>
      <c r="H32" s="14">
        <f t="shared" si="5"/>
        <v>64.363143221370137</v>
      </c>
    </row>
    <row r="33" spans="2:8" x14ac:dyDescent="0.25">
      <c r="B33" t="s">
        <v>20</v>
      </c>
      <c r="C33" s="19">
        <f t="shared" si="4"/>
        <v>0</v>
      </c>
      <c r="D33" s="19">
        <f t="shared" si="4"/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4">
        <f t="shared" si="5"/>
        <v>0</v>
      </c>
    </row>
    <row r="34" spans="2:8" x14ac:dyDescent="0.25">
      <c r="B34" t="s">
        <v>21</v>
      </c>
      <c r="C34" s="19">
        <f t="shared" si="4"/>
        <v>0</v>
      </c>
      <c r="D34" s="19">
        <f t="shared" si="4"/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4">
        <f t="shared" si="5"/>
        <v>0</v>
      </c>
    </row>
    <row r="35" spans="2:8" x14ac:dyDescent="0.25">
      <c r="B35" t="s">
        <v>22</v>
      </c>
      <c r="C35" s="19">
        <f t="shared" si="4"/>
        <v>0</v>
      </c>
      <c r="D35" s="19">
        <f t="shared" si="4"/>
        <v>0</v>
      </c>
      <c r="E35" s="19">
        <f t="shared" si="4"/>
        <v>3.1069460496902486</v>
      </c>
      <c r="F35" s="19">
        <f t="shared" si="4"/>
        <v>20.971316837409958</v>
      </c>
      <c r="G35" s="19">
        <f t="shared" si="4"/>
        <v>5.9773914705703488</v>
      </c>
      <c r="H35" s="14">
        <f t="shared" si="5"/>
        <v>30.055654357670555</v>
      </c>
    </row>
    <row r="36" spans="2:8" x14ac:dyDescent="0.25">
      <c r="B36" t="s">
        <v>23</v>
      </c>
      <c r="C36" s="19">
        <f t="shared" si="4"/>
        <v>0</v>
      </c>
      <c r="D36" s="19">
        <f t="shared" si="4"/>
        <v>0</v>
      </c>
      <c r="E36" s="19">
        <f t="shared" si="4"/>
        <v>0</v>
      </c>
      <c r="F36" s="19">
        <f t="shared" si="4"/>
        <v>0</v>
      </c>
      <c r="G36" s="19">
        <f t="shared" si="4"/>
        <v>0</v>
      </c>
      <c r="H36" s="14">
        <f t="shared" si="5"/>
        <v>0</v>
      </c>
    </row>
    <row r="37" spans="2:8" x14ac:dyDescent="0.25">
      <c r="B37" t="s">
        <v>24</v>
      </c>
      <c r="C37" s="19">
        <f t="shared" si="4"/>
        <v>0</v>
      </c>
      <c r="D37" s="19">
        <f t="shared" si="4"/>
        <v>0</v>
      </c>
      <c r="E37" s="19">
        <f t="shared" si="4"/>
        <v>0</v>
      </c>
      <c r="F37" s="19">
        <f t="shared" si="4"/>
        <v>0.51075778604651134</v>
      </c>
      <c r="G37" s="19">
        <f t="shared" si="4"/>
        <v>1.5322733581395349</v>
      </c>
      <c r="H37" s="14">
        <f t="shared" si="5"/>
        <v>2.0430311441860463</v>
      </c>
    </row>
    <row r="38" spans="2:8" x14ac:dyDescent="0.25">
      <c r="B38" t="s">
        <v>211</v>
      </c>
      <c r="C38" s="19">
        <f t="shared" si="4"/>
        <v>0</v>
      </c>
      <c r="D38" s="19">
        <f t="shared" si="4"/>
        <v>0</v>
      </c>
      <c r="E38" s="19">
        <f t="shared" si="4"/>
        <v>0</v>
      </c>
      <c r="F38" s="19">
        <f t="shared" si="4"/>
        <v>0</v>
      </c>
      <c r="G38" s="19">
        <f t="shared" si="4"/>
        <v>0</v>
      </c>
      <c r="H38" s="14">
        <f t="shared" si="5"/>
        <v>0</v>
      </c>
    </row>
    <row r="39" spans="2:8" x14ac:dyDescent="0.25">
      <c r="B39" t="s">
        <v>542</v>
      </c>
      <c r="C39" s="21">
        <f t="shared" ref="C39:H39" si="6">SUM(C31:C38)</f>
        <v>0</v>
      </c>
      <c r="D39" s="21">
        <f t="shared" si="6"/>
        <v>0</v>
      </c>
      <c r="E39" s="21">
        <f t="shared" si="6"/>
        <v>15.986014053289749</v>
      </c>
      <c r="F39" s="21">
        <f t="shared" si="6"/>
        <v>68.756295693332035</v>
      </c>
      <c r="G39" s="21">
        <f t="shared" si="6"/>
        <v>40.772102718928998</v>
      </c>
      <c r="H39" s="21">
        <f t="shared" si="6"/>
        <v>125.51441246555078</v>
      </c>
    </row>
    <row r="41" spans="2:8" x14ac:dyDescent="0.25">
      <c r="B41" s="25" t="s">
        <v>720</v>
      </c>
    </row>
    <row r="42" spans="2:8" x14ac:dyDescent="0.25">
      <c r="B42" s="130" t="s">
        <v>545</v>
      </c>
      <c r="C42" s="703">
        <v>2016</v>
      </c>
      <c r="D42" s="703">
        <v>2017</v>
      </c>
      <c r="E42" s="703">
        <v>2018</v>
      </c>
      <c r="F42" s="703">
        <v>2019</v>
      </c>
      <c r="G42" s="703">
        <v>2020</v>
      </c>
      <c r="H42" s="703" t="s">
        <v>6</v>
      </c>
    </row>
    <row r="43" spans="2:8" x14ac:dyDescent="0.25">
      <c r="B43" t="s">
        <v>18</v>
      </c>
      <c r="C43" s="6">
        <v>0</v>
      </c>
      <c r="D43" s="6">
        <v>0</v>
      </c>
      <c r="E43" s="6">
        <v>0.11285202614892079</v>
      </c>
      <c r="F43" s="6">
        <v>0.51914894651069476</v>
      </c>
      <c r="G43" s="6">
        <v>0.16964239622072561</v>
      </c>
      <c r="H43" s="14">
        <f t="shared" ref="H43:H50" si="7">SUM(C43:G43)</f>
        <v>0.80164336888034116</v>
      </c>
    </row>
    <row r="44" spans="2:8" x14ac:dyDescent="0.25">
      <c r="B44" t="s">
        <v>19</v>
      </c>
      <c r="C44" s="6">
        <v>0</v>
      </c>
      <c r="D44" s="6">
        <v>0</v>
      </c>
      <c r="E44" s="6">
        <v>0.23390507768660812</v>
      </c>
      <c r="F44" s="6">
        <v>0.77967522912322207</v>
      </c>
      <c r="G44" s="6">
        <v>0.77466348667747387</v>
      </c>
      <c r="H44" s="14">
        <f t="shared" si="7"/>
        <v>1.7882437934873039</v>
      </c>
    </row>
    <row r="45" spans="2:8" x14ac:dyDescent="0.25">
      <c r="B45" t="s">
        <v>20</v>
      </c>
      <c r="C45" s="6"/>
      <c r="D45" s="6"/>
      <c r="E45" s="6"/>
      <c r="F45" s="6"/>
      <c r="G45" s="6"/>
      <c r="H45" s="14">
        <f t="shared" si="7"/>
        <v>0</v>
      </c>
    </row>
    <row r="46" spans="2:8" x14ac:dyDescent="0.25">
      <c r="B46" t="s">
        <v>21</v>
      </c>
      <c r="C46" s="6"/>
      <c r="D46" s="6"/>
      <c r="E46" s="6"/>
      <c r="F46" s="6"/>
      <c r="G46" s="6"/>
      <c r="H46" s="14">
        <f t="shared" si="7"/>
        <v>0</v>
      </c>
    </row>
    <row r="47" spans="2:8" x14ac:dyDescent="0.25">
      <c r="B47" t="s">
        <v>22</v>
      </c>
      <c r="C47" s="6">
        <v>0</v>
      </c>
      <c r="D47" s="6">
        <v>0</v>
      </c>
      <c r="E47" s="6">
        <v>8.4621559698704066E-2</v>
      </c>
      <c r="F47" s="6">
        <v>0.57555614237461672</v>
      </c>
      <c r="G47" s="6">
        <v>0.16919761511103856</v>
      </c>
      <c r="H47" s="14">
        <f t="shared" si="7"/>
        <v>0.82937531718435942</v>
      </c>
    </row>
    <row r="48" spans="2:8" x14ac:dyDescent="0.25">
      <c r="B48" t="s">
        <v>23</v>
      </c>
      <c r="H48" s="14">
        <f t="shared" si="7"/>
        <v>0</v>
      </c>
    </row>
    <row r="49" spans="2:8" x14ac:dyDescent="0.25">
      <c r="B49" t="s">
        <v>24</v>
      </c>
      <c r="H49" s="14">
        <f t="shared" si="7"/>
        <v>0</v>
      </c>
    </row>
    <row r="50" spans="2:8" x14ac:dyDescent="0.25">
      <c r="B50" t="s">
        <v>211</v>
      </c>
      <c r="H50" s="14">
        <f t="shared" si="7"/>
        <v>0</v>
      </c>
    </row>
    <row r="51" spans="2:8" x14ac:dyDescent="0.25">
      <c r="B51" t="s">
        <v>546</v>
      </c>
      <c r="C51" s="21">
        <f t="shared" ref="C51:H51" si="8">SUM(C43:C50)</f>
        <v>0</v>
      </c>
      <c r="D51" s="21">
        <f t="shared" si="8"/>
        <v>0</v>
      </c>
      <c r="E51" s="21">
        <f t="shared" si="8"/>
        <v>0.43137866353423299</v>
      </c>
      <c r="F51" s="21">
        <f t="shared" si="8"/>
        <v>1.8743803180085337</v>
      </c>
      <c r="G51" s="21">
        <f t="shared" si="8"/>
        <v>1.113503498009238</v>
      </c>
      <c r="H51" s="21">
        <f t="shared" si="8"/>
        <v>3.4192624795520046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Contents</vt:lpstr>
      <vt:lpstr>Escalators</vt:lpstr>
      <vt:lpstr>Lab_Rates</vt:lpstr>
      <vt:lpstr>Rpt_Cat</vt:lpstr>
      <vt:lpstr>Unit_Rates</vt:lpstr>
      <vt:lpstr>Feeder_Vols</vt:lpstr>
      <vt:lpstr>Schedule</vt:lpstr>
      <vt:lpstr>Opex_Inputs</vt:lpstr>
      <vt:lpstr>BN_Det</vt:lpstr>
      <vt:lpstr>KLO_Det</vt:lpstr>
      <vt:lpstr>LLG_Det</vt:lpstr>
      <vt:lpstr>MSD_Det</vt:lpstr>
      <vt:lpstr>SLE_Det</vt:lpstr>
      <vt:lpstr>New_KLO2</vt:lpstr>
      <vt:lpstr>Other_Capex</vt:lpstr>
      <vt:lpstr>Stat_Phasing</vt:lpstr>
      <vt:lpstr>Direct_Capex_Totals</vt:lpstr>
      <vt:lpstr>Direct_Capex_Composition</vt:lpstr>
      <vt:lpstr>Direct_Summary</vt:lpstr>
      <vt:lpstr>Overheads</vt:lpstr>
      <vt:lpstr>Capex_by_Purpose</vt:lpstr>
      <vt:lpstr>Station_Summary</vt:lpstr>
      <vt:lpstr>Other_Tables</vt:lpstr>
      <vt:lpstr>PTRM_Inputs</vt:lpstr>
      <vt:lpstr>Cost_Summary</vt:lpstr>
      <vt:lpstr>Inc_Rev</vt:lpstr>
      <vt:lpstr>Inc_RAB</vt:lpstr>
      <vt:lpstr>Inc_Tax</vt:lpstr>
      <vt:lpstr>T1_Allowance</vt:lpstr>
      <vt:lpstr>T2_Allowance</vt:lpstr>
      <vt:lpstr>BN_Det!Print_Area</vt:lpstr>
      <vt:lpstr>KLO_Det!Print_Area</vt:lpstr>
      <vt:lpstr>LLG_Det!Print_Area</vt:lpstr>
      <vt:lpstr>MSD_Det!Print_Area</vt:lpstr>
      <vt:lpstr>Other_Capex!Print_Area</vt:lpstr>
      <vt:lpstr>SLE_Det!Print_Area</vt:lpstr>
      <vt:lpstr>STN_1</vt:lpstr>
      <vt:lpstr>STN_2</vt:lpstr>
      <vt:lpstr>STN_3</vt:lpstr>
      <vt:lpstr>STN_4</vt:lpstr>
      <vt:lpstr>STN_5</vt:lpstr>
      <vt:lpstr>STN_9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cp:lastPrinted>2019-05-23T03:24:32Z</cp:lastPrinted>
  <dcterms:created xsi:type="dcterms:W3CDTF">2017-02-22T23:29:09Z</dcterms:created>
  <dcterms:modified xsi:type="dcterms:W3CDTF">2019-05-24T06:15:45Z</dcterms:modified>
</cp:coreProperties>
</file>