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-120" yWindow="-16320" windowWidth="29040" windowHeight="16440" activeTab="2"/>
  </bookViews>
  <sheets>
    <sheet name="Pricing TAM" sheetId="1" r:id="rId1"/>
    <sheet name="Mechanisms" sheetId="2" r:id="rId2"/>
    <sheet name="Input" sheetId="3" r:id="rId3"/>
    <sheet name="Metering" sheetId="4" r:id="rId4"/>
    <sheet name="ACS escalators" sheetId="5" r:id="rId5"/>
    <sheet name="ACS prices" sheetId="6" r:id="rId6"/>
  </sheets>
  <definedNames>
    <definedName name="_ftn1" localSheetId="1">Mechanisms!#REF!</definedName>
    <definedName name="_ftn2" localSheetId="1">Mechanisms!$C$16</definedName>
    <definedName name="_ftn3" localSheetId="1">Mechanisms!$C$17</definedName>
    <definedName name="_ftn4" localSheetId="1">Mechanisms!$C$18</definedName>
    <definedName name="_ftn5" localSheetId="1">Mechanisms!$C$19</definedName>
    <definedName name="_ftn6" localSheetId="1">Mechanisms!$C$20</definedName>
    <definedName name="_ftn7" localSheetId="1">Mechanisms!$C$21</definedName>
    <definedName name="_ftn8" localSheetId="1">Mechanisms!$C$22</definedName>
    <definedName name="_ftnref1" localSheetId="1">Mechanisms!#REF!</definedName>
    <definedName name="_ftnref2" localSheetId="1">Mechanisms!#REF!</definedName>
    <definedName name="_ftnref3" localSheetId="1">Mechanisms!#REF!</definedName>
    <definedName name="_ftnref6" localSheetId="1">Mechanisms!#REF!</definedName>
    <definedName name="_ftnref8" localSheetId="1">Mechanisms!$C$6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solver_adj" localSheetId="3" hidden="1">Metering!$F$22</definedName>
    <definedName name="solver_cvg" localSheetId="3" hidden="1">0.0001</definedName>
    <definedName name="solver_drv" localSheetId="3" hidden="1">1</definedName>
    <definedName name="solver_eng" localSheetId="3" hidden="1">3</definedName>
    <definedName name="solver_est" localSheetId="3" hidden="1">1</definedName>
    <definedName name="solver_itr" localSheetId="3" hidden="1">2147483647</definedName>
    <definedName name="solver_lhs1" localSheetId="3" hidden="1">Metering!$D$25</definedName>
    <definedName name="solver_lhs2" localSheetId="3" hidden="1">Metering!$F$22</definedName>
    <definedName name="solver_lhs3" localSheetId="3" hidden="1">Metering!$F$22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3</definedName>
    <definedName name="solver_nwt" localSheetId="3" hidden="1">1</definedName>
    <definedName name="solver_opt" localSheetId="3" hidden="1">Metering!$F$23</definedName>
    <definedName name="solver_pre" localSheetId="3" hidden="1">0.000001</definedName>
    <definedName name="solver_rbv" localSheetId="3" hidden="1">1</definedName>
    <definedName name="solver_rel1" localSheetId="3" hidden="1">1</definedName>
    <definedName name="solver_rel2" localSheetId="3" hidden="1">1</definedName>
    <definedName name="solver_rel3" localSheetId="3" hidden="1">3</definedName>
    <definedName name="solver_rhs1" localSheetId="3" hidden="1">Metering!$D$26</definedName>
    <definedName name="solver_rhs2" localSheetId="3" hidden="1">2</definedName>
    <definedName name="solver_rhs3" localSheetId="3" hidden="1">0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2</definedName>
    <definedName name="solver_val" localSheetId="3" hidden="1">0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" i="4" l="1"/>
  <c r="R38" i="6" l="1"/>
  <c r="S38" i="6" s="1"/>
  <c r="T38" i="6" s="1"/>
  <c r="U38" i="6" s="1"/>
  <c r="R39" i="6"/>
  <c r="S39" i="6" s="1"/>
  <c r="T39" i="6" s="1"/>
  <c r="U39" i="6" s="1"/>
  <c r="R58" i="6"/>
  <c r="S58" i="6" s="1"/>
  <c r="T58" i="6" s="1"/>
  <c r="U58" i="6" s="1"/>
  <c r="R59" i="6"/>
  <c r="S59" i="6" s="1"/>
  <c r="T59" i="6" s="1"/>
  <c r="U59" i="6" s="1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B36" i="6"/>
  <c r="O57" i="6" l="1"/>
  <c r="O58" i="6"/>
  <c r="O59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R27" i="6"/>
  <c r="S62" i="5"/>
  <c r="E17" i="5" l="1"/>
  <c r="E20" i="3" l="1"/>
  <c r="E21" i="3" s="1"/>
  <c r="E22" i="3" s="1"/>
  <c r="E23" i="3" s="1"/>
  <c r="N28" i="6" l="1"/>
  <c r="P28" i="6"/>
  <c r="N29" i="6"/>
  <c r="P29" i="6"/>
  <c r="N30" i="6"/>
  <c r="P30" i="6"/>
  <c r="N31" i="6"/>
  <c r="P31" i="6"/>
  <c r="N32" i="6"/>
  <c r="P32" i="6"/>
  <c r="N33" i="6"/>
  <c r="P33" i="6"/>
  <c r="N34" i="6"/>
  <c r="P34" i="6"/>
  <c r="N35" i="6"/>
  <c r="P35" i="6"/>
  <c r="N36" i="6"/>
  <c r="P36" i="6"/>
  <c r="N37" i="6"/>
  <c r="P37" i="6"/>
  <c r="N38" i="6"/>
  <c r="P38" i="6"/>
  <c r="N39" i="6"/>
  <c r="P39" i="6"/>
  <c r="N40" i="6"/>
  <c r="P40" i="6"/>
  <c r="N41" i="6"/>
  <c r="P41" i="6"/>
  <c r="N42" i="6"/>
  <c r="P42" i="6"/>
  <c r="N43" i="6"/>
  <c r="P43" i="6"/>
  <c r="N44" i="6"/>
  <c r="P44" i="6"/>
  <c r="N45" i="6"/>
  <c r="P45" i="6"/>
  <c r="N46" i="6"/>
  <c r="P46" i="6"/>
  <c r="N47" i="6"/>
  <c r="P47" i="6"/>
  <c r="N48" i="6"/>
  <c r="P48" i="6"/>
  <c r="N49" i="6"/>
  <c r="P49" i="6"/>
  <c r="N50" i="6"/>
  <c r="P50" i="6"/>
  <c r="N51" i="6"/>
  <c r="P51" i="6"/>
  <c r="N52" i="6"/>
  <c r="P52" i="6"/>
  <c r="N53" i="6"/>
  <c r="P53" i="6"/>
  <c r="N54" i="6"/>
  <c r="P54" i="6"/>
  <c r="N55" i="6"/>
  <c r="P55" i="6"/>
  <c r="N56" i="6"/>
  <c r="P56" i="6"/>
  <c r="N57" i="6"/>
  <c r="P57" i="6"/>
  <c r="N58" i="6"/>
  <c r="P58" i="6"/>
  <c r="N59" i="6"/>
  <c r="P59" i="6"/>
  <c r="N60" i="6"/>
  <c r="O60" i="6"/>
  <c r="P60" i="6"/>
  <c r="O27" i="6"/>
  <c r="P27" i="6"/>
  <c r="N27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O6" i="6"/>
  <c r="P6" i="6"/>
  <c r="C6" i="6"/>
  <c r="B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D6" i="6"/>
  <c r="N7" i="6"/>
  <c r="N8" i="6"/>
  <c r="N9" i="6"/>
  <c r="N10" i="6"/>
  <c r="N11" i="6"/>
  <c r="O14" i="5"/>
  <c r="N12" i="6" s="1"/>
  <c r="O15" i="5"/>
  <c r="N13" i="6" s="1"/>
  <c r="O16" i="5"/>
  <c r="N14" i="6" s="1"/>
  <c r="O17" i="5"/>
  <c r="N15" i="6" s="1"/>
  <c r="O18" i="5"/>
  <c r="N16" i="6" s="1"/>
  <c r="O8" i="5"/>
  <c r="N6" i="6" s="1"/>
  <c r="R60" i="6" l="1"/>
  <c r="S60" i="6" s="1"/>
  <c r="T60" i="6" s="1"/>
  <c r="U60" i="6" s="1"/>
  <c r="R20" i="6"/>
  <c r="S20" i="6" s="1"/>
  <c r="T20" i="6" s="1"/>
  <c r="U20" i="6" s="1"/>
  <c r="R19" i="6"/>
  <c r="S19" i="6" s="1"/>
  <c r="T19" i="6" s="1"/>
  <c r="U19" i="6" s="1"/>
  <c r="R18" i="6"/>
  <c r="S18" i="6" s="1"/>
  <c r="T18" i="6" s="1"/>
  <c r="U18" i="6" s="1"/>
  <c r="R17" i="6"/>
  <c r="S17" i="6" s="1"/>
  <c r="T17" i="6" s="1"/>
  <c r="U17" i="6" s="1"/>
  <c r="R16" i="6"/>
  <c r="S16" i="6" s="1"/>
  <c r="T16" i="6" s="1"/>
  <c r="U16" i="6" s="1"/>
  <c r="R15" i="6"/>
  <c r="S15" i="6" s="1"/>
  <c r="T15" i="6" s="1"/>
  <c r="U15" i="6" s="1"/>
  <c r="R14" i="6"/>
  <c r="S14" i="6" s="1"/>
  <c r="T14" i="6" s="1"/>
  <c r="U14" i="6" s="1"/>
  <c r="R13" i="6"/>
  <c r="S13" i="6" s="1"/>
  <c r="T13" i="6" s="1"/>
  <c r="U13" i="6" s="1"/>
  <c r="R12" i="6"/>
  <c r="S12" i="6" s="1"/>
  <c r="T12" i="6" s="1"/>
  <c r="U12" i="6" s="1"/>
  <c r="F100" i="6"/>
  <c r="G100" i="6" s="1"/>
  <c r="H100" i="6" s="1"/>
  <c r="I100" i="6" s="1"/>
  <c r="F99" i="6"/>
  <c r="G99" i="6" s="1"/>
  <c r="H99" i="6" s="1"/>
  <c r="I99" i="6" s="1"/>
  <c r="F98" i="6"/>
  <c r="G98" i="6" s="1"/>
  <c r="H98" i="6" s="1"/>
  <c r="I98" i="6" s="1"/>
  <c r="F97" i="6"/>
  <c r="G97" i="6" s="1"/>
  <c r="H97" i="6" s="1"/>
  <c r="I97" i="6" s="1"/>
  <c r="F96" i="6"/>
  <c r="G96" i="6" s="1"/>
  <c r="H96" i="6" s="1"/>
  <c r="I96" i="6" s="1"/>
  <c r="F95" i="6"/>
  <c r="G95" i="6" s="1"/>
  <c r="H95" i="6" s="1"/>
  <c r="I95" i="6" s="1"/>
  <c r="F94" i="6"/>
  <c r="G94" i="6" s="1"/>
  <c r="H94" i="6" s="1"/>
  <c r="I94" i="6" s="1"/>
  <c r="F93" i="6"/>
  <c r="G93" i="6" s="1"/>
  <c r="H93" i="6" s="1"/>
  <c r="I93" i="6" s="1"/>
  <c r="F92" i="6"/>
  <c r="G92" i="6" s="1"/>
  <c r="H92" i="6" s="1"/>
  <c r="I92" i="6" s="1"/>
  <c r="F91" i="6"/>
  <c r="G91" i="6" s="1"/>
  <c r="H91" i="6" s="1"/>
  <c r="I91" i="6" s="1"/>
  <c r="F90" i="6"/>
  <c r="G90" i="6" s="1"/>
  <c r="H90" i="6" s="1"/>
  <c r="I90" i="6" s="1"/>
  <c r="F89" i="6"/>
  <c r="G89" i="6" s="1"/>
  <c r="H89" i="6" s="1"/>
  <c r="I89" i="6" s="1"/>
  <c r="F88" i="6"/>
  <c r="G88" i="6" s="1"/>
  <c r="H88" i="6" s="1"/>
  <c r="I88" i="6" s="1"/>
  <c r="F87" i="6"/>
  <c r="G87" i="6" s="1"/>
  <c r="H87" i="6" s="1"/>
  <c r="I87" i="6" s="1"/>
  <c r="F86" i="6"/>
  <c r="G86" i="6" s="1"/>
  <c r="H86" i="6" s="1"/>
  <c r="I86" i="6" s="1"/>
  <c r="F85" i="6"/>
  <c r="G85" i="6" s="1"/>
  <c r="H85" i="6" s="1"/>
  <c r="I85" i="6" s="1"/>
  <c r="F84" i="6"/>
  <c r="G84" i="6" s="1"/>
  <c r="H84" i="6" s="1"/>
  <c r="I84" i="6" s="1"/>
  <c r="F83" i="6"/>
  <c r="G83" i="6" s="1"/>
  <c r="H83" i="6" s="1"/>
  <c r="I83" i="6" s="1"/>
  <c r="F82" i="6"/>
  <c r="G82" i="6" s="1"/>
  <c r="H82" i="6" s="1"/>
  <c r="I82" i="6" s="1"/>
  <c r="F81" i="6"/>
  <c r="G81" i="6" s="1"/>
  <c r="H81" i="6" s="1"/>
  <c r="I81" i="6" s="1"/>
  <c r="F80" i="6"/>
  <c r="G80" i="6" s="1"/>
  <c r="H80" i="6" s="1"/>
  <c r="I80" i="6" s="1"/>
  <c r="F79" i="6"/>
  <c r="G79" i="6" s="1"/>
  <c r="H79" i="6" s="1"/>
  <c r="I79" i="6" s="1"/>
  <c r="F78" i="6"/>
  <c r="G78" i="6" s="1"/>
  <c r="H78" i="6" s="1"/>
  <c r="I78" i="6" s="1"/>
  <c r="F77" i="6"/>
  <c r="G77" i="6" s="1"/>
  <c r="H77" i="6" s="1"/>
  <c r="I77" i="6" s="1"/>
  <c r="F76" i="6"/>
  <c r="G76" i="6" s="1"/>
  <c r="H76" i="6" s="1"/>
  <c r="I76" i="6" s="1"/>
  <c r="F75" i="6"/>
  <c r="G75" i="6" s="1"/>
  <c r="H75" i="6" s="1"/>
  <c r="I75" i="6" s="1"/>
  <c r="F74" i="6"/>
  <c r="G74" i="6" s="1"/>
  <c r="H74" i="6" s="1"/>
  <c r="I74" i="6" s="1"/>
  <c r="F73" i="6"/>
  <c r="G73" i="6" s="1"/>
  <c r="H73" i="6" s="1"/>
  <c r="I73" i="6" s="1"/>
  <c r="F72" i="6"/>
  <c r="G72" i="6" s="1"/>
  <c r="H72" i="6" s="1"/>
  <c r="I72" i="6" s="1"/>
  <c r="F71" i="6"/>
  <c r="G71" i="6" s="1"/>
  <c r="H71" i="6" s="1"/>
  <c r="I71" i="6" s="1"/>
  <c r="F70" i="6"/>
  <c r="G70" i="6" s="1"/>
  <c r="H70" i="6" s="1"/>
  <c r="I70" i="6" s="1"/>
  <c r="F69" i="6"/>
  <c r="G69" i="6" s="1"/>
  <c r="H69" i="6" s="1"/>
  <c r="I69" i="6" s="1"/>
  <c r="F68" i="6"/>
  <c r="G68" i="6" s="1"/>
  <c r="H68" i="6" s="1"/>
  <c r="I68" i="6" s="1"/>
  <c r="F67" i="6"/>
  <c r="G67" i="6" s="1"/>
  <c r="H67" i="6" s="1"/>
  <c r="I67" i="6" s="1"/>
  <c r="F66" i="6"/>
  <c r="G66" i="6" s="1"/>
  <c r="H66" i="6" s="1"/>
  <c r="I66" i="6" s="1"/>
  <c r="F65" i="6"/>
  <c r="G65" i="6" s="1"/>
  <c r="H65" i="6" s="1"/>
  <c r="I65" i="6" s="1"/>
  <c r="F64" i="6"/>
  <c r="G64" i="6" s="1"/>
  <c r="H64" i="6" s="1"/>
  <c r="I64" i="6" s="1"/>
  <c r="F63" i="6"/>
  <c r="G63" i="6" s="1"/>
  <c r="H63" i="6" s="1"/>
  <c r="I63" i="6" s="1"/>
  <c r="F62" i="6"/>
  <c r="G62" i="6" s="1"/>
  <c r="H62" i="6" s="1"/>
  <c r="I62" i="6" s="1"/>
  <c r="F61" i="6"/>
  <c r="G61" i="6" s="1"/>
  <c r="H61" i="6" s="1"/>
  <c r="I61" i="6" s="1"/>
  <c r="F60" i="6"/>
  <c r="G60" i="6" s="1"/>
  <c r="H60" i="6" s="1"/>
  <c r="I60" i="6" s="1"/>
  <c r="F59" i="6"/>
  <c r="G59" i="6" s="1"/>
  <c r="H59" i="6" s="1"/>
  <c r="I59" i="6" s="1"/>
  <c r="F58" i="6"/>
  <c r="G58" i="6" s="1"/>
  <c r="H58" i="6" s="1"/>
  <c r="I58" i="6" s="1"/>
  <c r="F57" i="6"/>
  <c r="G57" i="6" s="1"/>
  <c r="H57" i="6" s="1"/>
  <c r="I57" i="6" s="1"/>
  <c r="F56" i="6"/>
  <c r="G56" i="6" s="1"/>
  <c r="H56" i="6" s="1"/>
  <c r="I56" i="6" s="1"/>
  <c r="F55" i="6"/>
  <c r="G55" i="6" s="1"/>
  <c r="H55" i="6" s="1"/>
  <c r="I55" i="6" s="1"/>
  <c r="F54" i="6"/>
  <c r="G54" i="6" s="1"/>
  <c r="H54" i="6" s="1"/>
  <c r="I54" i="6" s="1"/>
  <c r="F53" i="6"/>
  <c r="G53" i="6" s="1"/>
  <c r="H53" i="6" s="1"/>
  <c r="I53" i="6" s="1"/>
  <c r="F52" i="6"/>
  <c r="G52" i="6" s="1"/>
  <c r="H52" i="6" s="1"/>
  <c r="I52" i="6" s="1"/>
  <c r="F51" i="6"/>
  <c r="G51" i="6" s="1"/>
  <c r="H51" i="6" s="1"/>
  <c r="I51" i="6" s="1"/>
  <c r="F50" i="6"/>
  <c r="G50" i="6" s="1"/>
  <c r="H50" i="6" s="1"/>
  <c r="I50" i="6" s="1"/>
  <c r="F49" i="6"/>
  <c r="G49" i="6" s="1"/>
  <c r="H49" i="6" s="1"/>
  <c r="I49" i="6" s="1"/>
  <c r="F48" i="6"/>
  <c r="G48" i="6" s="1"/>
  <c r="H48" i="6" s="1"/>
  <c r="I48" i="6" s="1"/>
  <c r="F45" i="6"/>
  <c r="G45" i="6" s="1"/>
  <c r="H45" i="6" s="1"/>
  <c r="I45" i="6" s="1"/>
  <c r="F35" i="6"/>
  <c r="G35" i="6" s="1"/>
  <c r="H35" i="6" s="1"/>
  <c r="I35" i="6" s="1"/>
  <c r="F27" i="6"/>
  <c r="G27" i="6" s="1"/>
  <c r="H27" i="6" s="1"/>
  <c r="I27" i="6" s="1"/>
  <c r="F6" i="6"/>
  <c r="G6" i="6" s="1"/>
  <c r="H6" i="6" s="1"/>
  <c r="I6" i="6" s="1"/>
  <c r="D67" i="4"/>
  <c r="D66" i="4"/>
  <c r="D47" i="4"/>
  <c r="D46" i="4"/>
  <c r="L16" i="4"/>
  <c r="L15" i="4"/>
  <c r="L14" i="4"/>
  <c r="L13" i="4"/>
  <c r="L7" i="4"/>
  <c r="I3" i="4"/>
  <c r="B90" i="3"/>
  <c r="B89" i="3"/>
  <c r="B88" i="3"/>
  <c r="B87" i="3"/>
  <c r="B86" i="3"/>
  <c r="B81" i="3"/>
  <c r="B80" i="3"/>
  <c r="B79" i="3"/>
  <c r="B78" i="3"/>
  <c r="B77" i="3"/>
  <c r="B71" i="3"/>
  <c r="B70" i="3"/>
  <c r="B69" i="3"/>
  <c r="B68" i="3"/>
  <c r="B67" i="3"/>
  <c r="B61" i="3"/>
  <c r="M61" i="3" s="1"/>
  <c r="B60" i="3"/>
  <c r="M60" i="3" s="1"/>
  <c r="B59" i="3"/>
  <c r="M59" i="3" s="1"/>
  <c r="B58" i="3"/>
  <c r="M58" i="3" s="1"/>
  <c r="B57" i="3"/>
  <c r="M57" i="3" s="1"/>
  <c r="B38" i="3"/>
  <c r="B37" i="3"/>
  <c r="B1" i="6" s="1"/>
  <c r="B36" i="3"/>
  <c r="B35" i="3"/>
  <c r="B34" i="3"/>
  <c r="H102" i="5"/>
  <c r="G102" i="5"/>
  <c r="F102" i="5"/>
  <c r="E102" i="5"/>
  <c r="H101" i="5"/>
  <c r="G101" i="5"/>
  <c r="F101" i="5"/>
  <c r="E101" i="5"/>
  <c r="H100" i="5"/>
  <c r="G100" i="5"/>
  <c r="F100" i="5"/>
  <c r="E100" i="5"/>
  <c r="H99" i="5"/>
  <c r="G99" i="5"/>
  <c r="F99" i="5"/>
  <c r="E99" i="5"/>
  <c r="H98" i="5"/>
  <c r="G98" i="5"/>
  <c r="F98" i="5"/>
  <c r="E98" i="5"/>
  <c r="H97" i="5"/>
  <c r="G97" i="5"/>
  <c r="F97" i="5"/>
  <c r="E97" i="5"/>
  <c r="H96" i="5"/>
  <c r="G96" i="5"/>
  <c r="F96" i="5"/>
  <c r="E96" i="5"/>
  <c r="H95" i="5"/>
  <c r="G95" i="5"/>
  <c r="F95" i="5"/>
  <c r="E95" i="5"/>
  <c r="H94" i="5"/>
  <c r="G94" i="5"/>
  <c r="F94" i="5"/>
  <c r="E94" i="5"/>
  <c r="H93" i="5"/>
  <c r="G93" i="5"/>
  <c r="F93" i="5"/>
  <c r="E93" i="5"/>
  <c r="H92" i="5"/>
  <c r="G92" i="5"/>
  <c r="F92" i="5"/>
  <c r="E92" i="5"/>
  <c r="H91" i="5"/>
  <c r="G91" i="5"/>
  <c r="F91" i="5"/>
  <c r="E91" i="5"/>
  <c r="H90" i="5"/>
  <c r="G90" i="5"/>
  <c r="F90" i="5"/>
  <c r="E90" i="5"/>
  <c r="H89" i="5"/>
  <c r="G89" i="5"/>
  <c r="F89" i="5"/>
  <c r="E89" i="5"/>
  <c r="H88" i="5"/>
  <c r="G88" i="5"/>
  <c r="F88" i="5"/>
  <c r="E88" i="5"/>
  <c r="H87" i="5"/>
  <c r="G87" i="5"/>
  <c r="F87" i="5"/>
  <c r="E87" i="5"/>
  <c r="H86" i="5"/>
  <c r="G86" i="5"/>
  <c r="F86" i="5"/>
  <c r="E86" i="5"/>
  <c r="H85" i="5"/>
  <c r="G85" i="5"/>
  <c r="F85" i="5"/>
  <c r="E85" i="5"/>
  <c r="H84" i="5"/>
  <c r="G84" i="5"/>
  <c r="F84" i="5"/>
  <c r="E84" i="5"/>
  <c r="H83" i="5"/>
  <c r="G83" i="5"/>
  <c r="F83" i="5"/>
  <c r="E83" i="5"/>
  <c r="H82" i="5"/>
  <c r="G82" i="5"/>
  <c r="F82" i="5"/>
  <c r="E82" i="5"/>
  <c r="H81" i="5"/>
  <c r="G81" i="5"/>
  <c r="F81" i="5"/>
  <c r="E81" i="5"/>
  <c r="H80" i="5"/>
  <c r="G80" i="5"/>
  <c r="F80" i="5"/>
  <c r="E80" i="5"/>
  <c r="H79" i="5"/>
  <c r="G79" i="5"/>
  <c r="F79" i="5"/>
  <c r="E79" i="5"/>
  <c r="H78" i="5"/>
  <c r="G78" i="5"/>
  <c r="F78" i="5"/>
  <c r="E78" i="5"/>
  <c r="H77" i="5"/>
  <c r="G77" i="5"/>
  <c r="F77" i="5"/>
  <c r="E77" i="5"/>
  <c r="H76" i="5"/>
  <c r="G76" i="5"/>
  <c r="F76" i="5"/>
  <c r="E76" i="5"/>
  <c r="H75" i="5"/>
  <c r="G75" i="5"/>
  <c r="F75" i="5"/>
  <c r="E75" i="5"/>
  <c r="H74" i="5"/>
  <c r="G74" i="5"/>
  <c r="F74" i="5"/>
  <c r="E74" i="5"/>
  <c r="H73" i="5"/>
  <c r="G73" i="5"/>
  <c r="F73" i="5"/>
  <c r="E73" i="5"/>
  <c r="H72" i="5"/>
  <c r="G72" i="5"/>
  <c r="F72" i="5"/>
  <c r="E72" i="5"/>
  <c r="H71" i="5"/>
  <c r="G71" i="5"/>
  <c r="F71" i="5"/>
  <c r="E71" i="5"/>
  <c r="H70" i="5"/>
  <c r="G70" i="5"/>
  <c r="F70" i="5"/>
  <c r="E70" i="5"/>
  <c r="H69" i="5"/>
  <c r="G69" i="5"/>
  <c r="F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U62" i="5"/>
  <c r="T62" i="5"/>
  <c r="R62" i="5"/>
  <c r="H62" i="5"/>
  <c r="G62" i="5"/>
  <c r="F62" i="5"/>
  <c r="E62" i="5"/>
  <c r="H61" i="5"/>
  <c r="G61" i="5"/>
  <c r="F61" i="5"/>
  <c r="E61" i="5"/>
  <c r="H60" i="5"/>
  <c r="G60" i="5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F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F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F38" i="5"/>
  <c r="E38" i="5"/>
  <c r="H37" i="5"/>
  <c r="G37" i="5"/>
  <c r="F37" i="5"/>
  <c r="E37" i="5"/>
  <c r="H36" i="5"/>
  <c r="G36" i="5"/>
  <c r="F36" i="5"/>
  <c r="E36" i="5"/>
  <c r="H35" i="5"/>
  <c r="G35" i="5"/>
  <c r="F35" i="5"/>
  <c r="E35" i="5"/>
  <c r="R34" i="5"/>
  <c r="H34" i="5"/>
  <c r="G34" i="5"/>
  <c r="F34" i="5"/>
  <c r="E34" i="5"/>
  <c r="R33" i="5"/>
  <c r="H33" i="5"/>
  <c r="G33" i="5"/>
  <c r="F33" i="5"/>
  <c r="E33" i="5"/>
  <c r="R32" i="5"/>
  <c r="H32" i="5"/>
  <c r="G32" i="5"/>
  <c r="F32" i="5"/>
  <c r="E32" i="5"/>
  <c r="R31" i="5"/>
  <c r="H31" i="5"/>
  <c r="G31" i="5"/>
  <c r="F31" i="5"/>
  <c r="E31" i="5"/>
  <c r="R30" i="5"/>
  <c r="H30" i="5"/>
  <c r="G30" i="5"/>
  <c r="F30" i="5"/>
  <c r="E30" i="5"/>
  <c r="U29" i="5"/>
  <c r="T29" i="5"/>
  <c r="S29" i="5"/>
  <c r="R29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H19" i="5"/>
  <c r="G19" i="5"/>
  <c r="F19" i="5"/>
  <c r="E19" i="5"/>
  <c r="H18" i="5"/>
  <c r="G18" i="5"/>
  <c r="F18" i="5"/>
  <c r="E18" i="5"/>
  <c r="H17" i="5"/>
  <c r="G17" i="5"/>
  <c r="F17" i="5"/>
  <c r="H16" i="5"/>
  <c r="G16" i="5"/>
  <c r="F16" i="5"/>
  <c r="E16" i="5"/>
  <c r="H15" i="5"/>
  <c r="G15" i="5"/>
  <c r="F15" i="5"/>
  <c r="E15" i="5"/>
  <c r="H14" i="5"/>
  <c r="G14" i="5"/>
  <c r="F14" i="5"/>
  <c r="E14" i="5"/>
  <c r="H13" i="5"/>
  <c r="G13" i="5"/>
  <c r="F13" i="5"/>
  <c r="E13" i="5"/>
  <c r="H12" i="5"/>
  <c r="G12" i="5"/>
  <c r="F12" i="5"/>
  <c r="E12" i="5"/>
  <c r="H11" i="5"/>
  <c r="G11" i="5"/>
  <c r="F11" i="5"/>
  <c r="E11" i="5"/>
  <c r="H10" i="5"/>
  <c r="G10" i="5"/>
  <c r="F10" i="5"/>
  <c r="E10" i="5"/>
  <c r="H9" i="5"/>
  <c r="G9" i="5"/>
  <c r="F9" i="5"/>
  <c r="E9" i="5"/>
  <c r="H8" i="5"/>
  <c r="G8" i="5"/>
  <c r="F8" i="5"/>
  <c r="E8" i="5"/>
  <c r="E92" i="4"/>
  <c r="B92" i="4"/>
  <c r="E91" i="4"/>
  <c r="B91" i="4"/>
  <c r="E90" i="4"/>
  <c r="B90" i="4"/>
  <c r="E89" i="4"/>
  <c r="B89" i="4"/>
  <c r="E88" i="4"/>
  <c r="C88" i="4"/>
  <c r="B88" i="4"/>
  <c r="C87" i="4"/>
  <c r="E87" i="4" s="1"/>
  <c r="B87" i="4"/>
  <c r="C86" i="4"/>
  <c r="E86" i="4" s="1"/>
  <c r="B86" i="4"/>
  <c r="C85" i="4"/>
  <c r="E85" i="4" s="1"/>
  <c r="B85" i="4"/>
  <c r="C84" i="4"/>
  <c r="E84" i="4" s="1"/>
  <c r="B84" i="4"/>
  <c r="E83" i="4"/>
  <c r="B83" i="4"/>
  <c r="C82" i="4"/>
  <c r="G56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I7" i="4"/>
  <c r="H7" i="4"/>
  <c r="E6" i="4"/>
  <c r="D6" i="4"/>
  <c r="H18" i="3"/>
  <c r="H17" i="3"/>
  <c r="H16" i="3"/>
  <c r="H15" i="3"/>
  <c r="E11" i="3"/>
  <c r="E10" i="3"/>
  <c r="B43" i="3" s="1"/>
  <c r="E9" i="3"/>
  <c r="B42" i="3" s="1"/>
  <c r="E8" i="3"/>
  <c r="D85" i="3" s="1"/>
  <c r="E7" i="3"/>
  <c r="B28" i="3" l="1"/>
  <c r="B1" i="4"/>
  <c r="B1" i="5"/>
  <c r="H26" i="4"/>
  <c r="F5" i="4"/>
  <c r="C81" i="4"/>
  <c r="D48" i="4"/>
  <c r="D68" i="4" s="1"/>
  <c r="H5" i="4"/>
  <c r="E48" i="4"/>
  <c r="D81" i="4"/>
  <c r="I5" i="4"/>
  <c r="H27" i="4"/>
  <c r="F48" i="4"/>
  <c r="E81" i="4"/>
  <c r="G48" i="4"/>
  <c r="B3" i="4"/>
  <c r="H28" i="4"/>
  <c r="D22" i="4"/>
  <c r="D5" i="4"/>
  <c r="E22" i="4"/>
  <c r="H29" i="4"/>
  <c r="K5" i="6"/>
  <c r="K8" i="6" s="1"/>
  <c r="E5" i="4"/>
  <c r="H25" i="4"/>
  <c r="F73" i="3"/>
  <c r="D89" i="3"/>
  <c r="D92" i="3" s="1"/>
  <c r="E33" i="4" s="1"/>
  <c r="I17" i="4"/>
  <c r="K11" i="4"/>
  <c r="K14" i="4"/>
  <c r="K12" i="4"/>
  <c r="K16" i="4"/>
  <c r="K15" i="4"/>
  <c r="K9" i="4"/>
  <c r="K13" i="4"/>
  <c r="K7" i="4"/>
  <c r="K10" i="4"/>
  <c r="E93" i="4"/>
  <c r="F50" i="4" s="1"/>
  <c r="I92" i="3"/>
  <c r="F40" i="3"/>
  <c r="H20" i="3"/>
  <c r="H40" i="3"/>
  <c r="H92" i="3"/>
  <c r="J83" i="3"/>
  <c r="N73" i="3"/>
  <c r="J53" i="3"/>
  <c r="N40" i="3"/>
  <c r="L40" i="3"/>
  <c r="G53" i="3"/>
  <c r="I40" i="3"/>
  <c r="G92" i="3"/>
  <c r="I83" i="3"/>
  <c r="M73" i="3"/>
  <c r="I53" i="3"/>
  <c r="M40" i="3"/>
  <c r="G83" i="3"/>
  <c r="J63" i="3"/>
  <c r="I73" i="3"/>
  <c r="I63" i="3"/>
  <c r="F92" i="3"/>
  <c r="H83" i="3"/>
  <c r="L73" i="3"/>
  <c r="H53" i="3"/>
  <c r="J73" i="3"/>
  <c r="J40" i="3"/>
  <c r="F83" i="3"/>
  <c r="F53" i="3"/>
  <c r="H73" i="3"/>
  <c r="H63" i="3"/>
  <c r="J92" i="3"/>
  <c r="G73" i="3"/>
  <c r="G63" i="3"/>
  <c r="B46" i="3"/>
  <c r="D47" i="3" s="1"/>
  <c r="D88" i="3"/>
  <c r="B63" i="3"/>
  <c r="B40" i="3"/>
  <c r="D87" i="3"/>
  <c r="B33" i="3"/>
  <c r="D56" i="3"/>
  <c r="D90" i="3"/>
  <c r="D86" i="3"/>
  <c r="G40" i="3"/>
  <c r="E66" i="3"/>
  <c r="B27" i="3"/>
  <c r="E27" i="3" s="1"/>
  <c r="B92" i="3"/>
  <c r="D76" i="3"/>
  <c r="D80" i="3" s="1"/>
  <c r="B83" i="3"/>
  <c r="D66" i="3"/>
  <c r="B26" i="3"/>
  <c r="E26" i="3" s="1"/>
  <c r="H19" i="3"/>
  <c r="B41" i="3"/>
  <c r="B53" i="3"/>
  <c r="B25" i="3"/>
  <c r="E25" i="3" s="1"/>
  <c r="C66" i="3"/>
  <c r="R51" i="6" l="1"/>
  <c r="R40" i="6"/>
  <c r="R53" i="6"/>
  <c r="R52" i="6"/>
  <c r="R55" i="6"/>
  <c r="R45" i="6"/>
  <c r="S45" i="6" s="1"/>
  <c r="R44" i="6"/>
  <c r="S44" i="6" s="1"/>
  <c r="R47" i="6"/>
  <c r="R42" i="6"/>
  <c r="R57" i="6"/>
  <c r="R43" i="6"/>
  <c r="R41" i="6"/>
  <c r="R54" i="6"/>
  <c r="R48" i="6"/>
  <c r="S48" i="6" s="1"/>
  <c r="R56" i="6"/>
  <c r="S56" i="6" s="1"/>
  <c r="R46" i="6"/>
  <c r="R50" i="6"/>
  <c r="R49" i="6"/>
  <c r="R34" i="6"/>
  <c r="R11" i="6"/>
  <c r="F58" i="3"/>
  <c r="D58" i="3" s="1"/>
  <c r="F57" i="3"/>
  <c r="F63" i="3" s="1"/>
  <c r="D31" i="4" s="1"/>
  <c r="F59" i="3"/>
  <c r="F60" i="3"/>
  <c r="F61" i="3"/>
  <c r="D41" i="3"/>
  <c r="F70" i="4" s="1"/>
  <c r="D50" i="3"/>
  <c r="D53" i="3" s="1"/>
  <c r="D39" i="4" s="1"/>
  <c r="D51" i="3"/>
  <c r="D48" i="3"/>
  <c r="D49" i="3"/>
  <c r="E31" i="4"/>
  <c r="R32" i="6"/>
  <c r="F38" i="6"/>
  <c r="F33" i="6"/>
  <c r="R31" i="6"/>
  <c r="F43" i="6"/>
  <c r="F32" i="6"/>
  <c r="F16" i="6"/>
  <c r="F11" i="6"/>
  <c r="F14" i="6"/>
  <c r="R30" i="6"/>
  <c r="R10" i="6"/>
  <c r="F42" i="6"/>
  <c r="F37" i="6"/>
  <c r="F26" i="6"/>
  <c r="F21" i="6"/>
  <c r="F10" i="6"/>
  <c r="F25" i="6"/>
  <c r="R37" i="6"/>
  <c r="R29" i="6"/>
  <c r="R9" i="6"/>
  <c r="F47" i="6"/>
  <c r="F36" i="6"/>
  <c r="F31" i="6"/>
  <c r="F20" i="6"/>
  <c r="F15" i="6"/>
  <c r="F30" i="6"/>
  <c r="F9" i="6"/>
  <c r="R36" i="6"/>
  <c r="R28" i="6"/>
  <c r="R8" i="6"/>
  <c r="F46" i="6"/>
  <c r="F41" i="6"/>
  <c r="R35" i="6"/>
  <c r="R7" i="6"/>
  <c r="F40" i="6"/>
  <c r="F24" i="6"/>
  <c r="F19" i="6"/>
  <c r="F8" i="6"/>
  <c r="F17" i="6"/>
  <c r="R6" i="6"/>
  <c r="F34" i="6"/>
  <c r="F29" i="6"/>
  <c r="F18" i="6"/>
  <c r="F13" i="6"/>
  <c r="F22" i="6"/>
  <c r="R33" i="6"/>
  <c r="F44" i="6"/>
  <c r="F39" i="6"/>
  <c r="F28" i="6"/>
  <c r="F23" i="6"/>
  <c r="F12" i="6"/>
  <c r="F7" i="6"/>
  <c r="D42" i="3"/>
  <c r="E70" i="4" s="1"/>
  <c r="D43" i="3"/>
  <c r="D70" i="4" s="1"/>
  <c r="E32" i="4"/>
  <c r="I28" i="4" s="1"/>
  <c r="E28" i="3"/>
  <c r="D35" i="3"/>
  <c r="D38" i="3"/>
  <c r="D37" i="3"/>
  <c r="D34" i="3"/>
  <c r="D36" i="3"/>
  <c r="D70" i="3"/>
  <c r="D68" i="3"/>
  <c r="D71" i="3"/>
  <c r="D69" i="3"/>
  <c r="D67" i="3"/>
  <c r="B73" i="3"/>
  <c r="C70" i="3"/>
  <c r="C68" i="3"/>
  <c r="C71" i="3"/>
  <c r="C69" i="3"/>
  <c r="C67" i="3"/>
  <c r="D78" i="3"/>
  <c r="D60" i="3"/>
  <c r="D61" i="3"/>
  <c r="D57" i="3"/>
  <c r="D59" i="3"/>
  <c r="D81" i="3"/>
  <c r="D77" i="3"/>
  <c r="D83" i="3" s="1"/>
  <c r="D37" i="4" s="1"/>
  <c r="H21" i="3"/>
  <c r="S27" i="6" s="1"/>
  <c r="E70" i="3"/>
  <c r="E68" i="3"/>
  <c r="E71" i="3"/>
  <c r="E69" i="3"/>
  <c r="E67" i="3"/>
  <c r="D79" i="3"/>
  <c r="D73" i="3" l="1"/>
  <c r="E53" i="4" s="1"/>
  <c r="E61" i="4" s="1"/>
  <c r="S46" i="6"/>
  <c r="S47" i="6"/>
  <c r="D40" i="3"/>
  <c r="G70" i="4" s="1"/>
  <c r="S54" i="6"/>
  <c r="T54" i="6" s="1"/>
  <c r="U54" i="6" s="1"/>
  <c r="S55" i="6"/>
  <c r="S11" i="6"/>
  <c r="S41" i="6"/>
  <c r="S52" i="6"/>
  <c r="S37" i="6"/>
  <c r="T37" i="6" s="1"/>
  <c r="S34" i="6"/>
  <c r="T34" i="6" s="1"/>
  <c r="U34" i="6" s="1"/>
  <c r="S43" i="6"/>
  <c r="S53" i="6"/>
  <c r="S49" i="6"/>
  <c r="S57" i="6"/>
  <c r="S40" i="6"/>
  <c r="S50" i="6"/>
  <c r="S42" i="6"/>
  <c r="T42" i="6" s="1"/>
  <c r="S51" i="6"/>
  <c r="T51" i="6" s="1"/>
  <c r="U51" i="6" s="1"/>
  <c r="C73" i="3"/>
  <c r="D53" i="4" s="1"/>
  <c r="D61" i="4" s="1"/>
  <c r="D74" i="4" s="1"/>
  <c r="D75" i="4" s="1"/>
  <c r="E73" i="3"/>
  <c r="F53" i="4" s="1"/>
  <c r="F61" i="4" s="1"/>
  <c r="D63" i="3"/>
  <c r="I26" i="4"/>
  <c r="I27" i="4"/>
  <c r="G7" i="6"/>
  <c r="G22" i="6"/>
  <c r="G19" i="6"/>
  <c r="S7" i="6"/>
  <c r="G12" i="6"/>
  <c r="G13" i="6"/>
  <c r="G24" i="6"/>
  <c r="S35" i="6"/>
  <c r="S8" i="6"/>
  <c r="G15" i="6"/>
  <c r="G21" i="6"/>
  <c r="G16" i="6"/>
  <c r="G10" i="6"/>
  <c r="G11" i="6"/>
  <c r="G23" i="6"/>
  <c r="G18" i="6"/>
  <c r="G40" i="6"/>
  <c r="S28" i="6"/>
  <c r="G20" i="6"/>
  <c r="G26" i="6"/>
  <c r="S10" i="6"/>
  <c r="G32" i="6"/>
  <c r="S31" i="6"/>
  <c r="G28" i="6"/>
  <c r="G29" i="6"/>
  <c r="S6" i="6"/>
  <c r="G41" i="6"/>
  <c r="S36" i="6"/>
  <c r="G31" i="6"/>
  <c r="S9" i="6"/>
  <c r="G37" i="6"/>
  <c r="S30" i="6"/>
  <c r="G43" i="6"/>
  <c r="G39" i="6"/>
  <c r="S33" i="6"/>
  <c r="G34" i="6"/>
  <c r="G46" i="6"/>
  <c r="G36" i="6"/>
  <c r="S29" i="6"/>
  <c r="G42" i="6"/>
  <c r="G44" i="6"/>
  <c r="G47" i="6"/>
  <c r="S32" i="6"/>
  <c r="G17" i="6"/>
  <c r="G9" i="6"/>
  <c r="G33" i="6"/>
  <c r="G8" i="6"/>
  <c r="G30" i="6"/>
  <c r="G25" i="6"/>
  <c r="G14" i="6"/>
  <c r="G38" i="6"/>
  <c r="E2" i="5"/>
  <c r="D38" i="4"/>
  <c r="D73" i="4"/>
  <c r="H22" i="3"/>
  <c r="T27" i="6" s="1"/>
  <c r="H23" i="3"/>
  <c r="T43" i="6" l="1"/>
  <c r="U43" i="6" s="1"/>
  <c r="T55" i="6"/>
  <c r="U55" i="6" s="1"/>
  <c r="T50" i="6"/>
  <c r="U50" i="6" s="1"/>
  <c r="T48" i="6"/>
  <c r="U48" i="6" s="1"/>
  <c r="T45" i="6"/>
  <c r="U45" i="6" s="1"/>
  <c r="U42" i="6"/>
  <c r="T40" i="6"/>
  <c r="U40" i="6" s="1"/>
  <c r="T56" i="6"/>
  <c r="U56" i="6" s="1"/>
  <c r="T44" i="6"/>
  <c r="U44" i="6" s="1"/>
  <c r="T57" i="6"/>
  <c r="U57" i="6" s="1"/>
  <c r="T52" i="6"/>
  <c r="U52" i="6" s="1"/>
  <c r="T47" i="6"/>
  <c r="U47" i="6" s="1"/>
  <c r="U37" i="6"/>
  <c r="T49" i="6"/>
  <c r="U49" i="6" s="1"/>
  <c r="T41" i="6"/>
  <c r="U41" i="6" s="1"/>
  <c r="T46" i="6"/>
  <c r="U46" i="6" s="1"/>
  <c r="T53" i="6"/>
  <c r="U53" i="6" s="1"/>
  <c r="T11" i="6"/>
  <c r="U11" i="6" s="1"/>
  <c r="U27" i="6"/>
  <c r="H7" i="6"/>
  <c r="I7" i="6" s="1"/>
  <c r="H38" i="6"/>
  <c r="I38" i="6" s="1"/>
  <c r="T32" i="6"/>
  <c r="U32" i="6" s="1"/>
  <c r="H46" i="6"/>
  <c r="I46" i="6" s="1"/>
  <c r="H41" i="6"/>
  <c r="I41" i="6" s="1"/>
  <c r="T31" i="6"/>
  <c r="U31" i="6" s="1"/>
  <c r="H40" i="6"/>
  <c r="I40" i="6" s="1"/>
  <c r="T8" i="6"/>
  <c r="U8" i="6" s="1"/>
  <c r="H32" i="6"/>
  <c r="I32" i="6" s="1"/>
  <c r="H14" i="6"/>
  <c r="I14" i="6" s="1"/>
  <c r="H17" i="6"/>
  <c r="I17" i="6" s="1"/>
  <c r="H43" i="6"/>
  <c r="I43" i="6" s="1"/>
  <c r="T6" i="6"/>
  <c r="U6" i="6" s="1"/>
  <c r="T10" i="6"/>
  <c r="U10" i="6" s="1"/>
  <c r="H18" i="6"/>
  <c r="I18" i="6" s="1"/>
  <c r="T7" i="6"/>
  <c r="U7" i="6" s="1"/>
  <c r="H34" i="6"/>
  <c r="I34" i="6" s="1"/>
  <c r="T30" i="6"/>
  <c r="U30" i="6" s="1"/>
  <c r="H29" i="6"/>
  <c r="I29" i="6" s="1"/>
  <c r="H26" i="6"/>
  <c r="I26" i="6" s="1"/>
  <c r="H19" i="6"/>
  <c r="I19" i="6" s="1"/>
  <c r="H25" i="6"/>
  <c r="I25" i="6" s="1"/>
  <c r="H42" i="6"/>
  <c r="I42" i="6" s="1"/>
  <c r="T33" i="6"/>
  <c r="U33" i="6" s="1"/>
  <c r="H37" i="6"/>
  <c r="I37" i="6" s="1"/>
  <c r="H23" i="6"/>
  <c r="I23" i="6" s="1"/>
  <c r="H11" i="6"/>
  <c r="I11" i="6" s="1"/>
  <c r="H8" i="6"/>
  <c r="I8" i="6" s="1"/>
  <c r="H44" i="6"/>
  <c r="I44" i="6" s="1"/>
  <c r="T29" i="6"/>
  <c r="U29" i="6" s="1"/>
  <c r="H39" i="6"/>
  <c r="I39" i="6" s="1"/>
  <c r="T9" i="6"/>
  <c r="U9" i="6" s="1"/>
  <c r="H28" i="6"/>
  <c r="I28" i="6" s="1"/>
  <c r="H20" i="6"/>
  <c r="I20" i="6" s="1"/>
  <c r="H22" i="6"/>
  <c r="I22" i="6" s="1"/>
  <c r="H33" i="6"/>
  <c r="I33" i="6" s="1"/>
  <c r="H30" i="6"/>
  <c r="I30" i="6" s="1"/>
  <c r="H21" i="6"/>
  <c r="I21" i="6" s="1"/>
  <c r="H16" i="6"/>
  <c r="I16" i="6" s="1"/>
  <c r="H47" i="6"/>
  <c r="I47" i="6" s="1"/>
  <c r="H36" i="6"/>
  <c r="I36" i="6" s="1"/>
  <c r="H31" i="6"/>
  <c r="I31" i="6" s="1"/>
  <c r="H12" i="6"/>
  <c r="I12" i="6" s="1"/>
  <c r="T28" i="6"/>
  <c r="U28" i="6" s="1"/>
  <c r="H10" i="6"/>
  <c r="I10" i="6" s="1"/>
  <c r="H9" i="6"/>
  <c r="I9" i="6" s="1"/>
  <c r="T35" i="6"/>
  <c r="U35" i="6" s="1"/>
  <c r="H24" i="6"/>
  <c r="I24" i="6" s="1"/>
  <c r="H13" i="6"/>
  <c r="I13" i="6" s="1"/>
  <c r="T36" i="6"/>
  <c r="U36" i="6" s="1"/>
  <c r="H15" i="6"/>
  <c r="I15" i="6" s="1"/>
  <c r="D76" i="4"/>
  <c r="I25" i="4"/>
  <c r="L12" i="4" l="1"/>
  <c r="D49" i="4" l="1"/>
  <c r="E47" i="4"/>
  <c r="E68" i="4"/>
  <c r="E67" i="4" s="1"/>
  <c r="G68" i="4"/>
  <c r="F68" i="4"/>
  <c r="K100" i="6" l="1"/>
  <c r="L100" i="6" s="1"/>
  <c r="K80" i="6"/>
  <c r="L80" i="6" s="1"/>
  <c r="K61" i="6"/>
  <c r="L61" i="6" s="1"/>
  <c r="K38" i="6"/>
  <c r="L38" i="6" s="1"/>
  <c r="K29" i="6"/>
  <c r="L29" i="6" s="1"/>
  <c r="K55" i="6"/>
  <c r="L55" i="6" s="1"/>
  <c r="K17" i="6"/>
  <c r="L17" i="6" s="1"/>
  <c r="K81" i="6"/>
  <c r="L81" i="6" s="1"/>
  <c r="K50" i="6"/>
  <c r="L50" i="6" s="1"/>
  <c r="K11" i="6"/>
  <c r="L11" i="6" s="1"/>
  <c r="K75" i="6"/>
  <c r="L75" i="6" s="1"/>
  <c r="K36" i="6"/>
  <c r="L36" i="6" s="1"/>
  <c r="K6" i="6"/>
  <c r="L6" i="6" s="1"/>
  <c r="K18" i="6"/>
  <c r="L18" i="6" s="1"/>
  <c r="K82" i="6"/>
  <c r="L82" i="6" s="1"/>
  <c r="K40" i="6"/>
  <c r="L40" i="6" s="1"/>
  <c r="K31" i="6"/>
  <c r="L31" i="6" s="1"/>
  <c r="K26" i="6"/>
  <c r="L26" i="6" s="1"/>
  <c r="K51" i="6"/>
  <c r="L51" i="6" s="1"/>
  <c r="K32" i="6"/>
  <c r="L32" i="6" s="1"/>
  <c r="K21" i="6"/>
  <c r="L21" i="6" s="1"/>
  <c r="L8" i="6"/>
  <c r="K96" i="6"/>
  <c r="L96" i="6" s="1"/>
  <c r="K46" i="6"/>
  <c r="L46" i="6" s="1"/>
  <c r="K85" i="6"/>
  <c r="L85" i="6" s="1"/>
  <c r="K63" i="6"/>
  <c r="L63" i="6" s="1"/>
  <c r="K25" i="6"/>
  <c r="L25" i="6" s="1"/>
  <c r="K89" i="6"/>
  <c r="L89" i="6" s="1"/>
  <c r="K58" i="6"/>
  <c r="L58" i="6" s="1"/>
  <c r="K19" i="6"/>
  <c r="L19" i="6" s="1"/>
  <c r="K83" i="6"/>
  <c r="L83" i="6" s="1"/>
  <c r="K44" i="6"/>
  <c r="L44" i="6" s="1"/>
  <c r="K23" i="6"/>
  <c r="L23" i="6" s="1"/>
  <c r="K49" i="6"/>
  <c r="L49" i="6" s="1"/>
  <c r="K56" i="6"/>
  <c r="L56" i="6" s="1"/>
  <c r="K95" i="6"/>
  <c r="L95" i="6" s="1"/>
  <c r="K76" i="6"/>
  <c r="L76" i="6" s="1"/>
  <c r="K37" i="6"/>
  <c r="L37" i="6" s="1"/>
  <c r="K64" i="6"/>
  <c r="L64" i="6" s="1"/>
  <c r="K48" i="6"/>
  <c r="L48" i="6" s="1"/>
  <c r="K53" i="6"/>
  <c r="L53" i="6" s="1"/>
  <c r="K54" i="6"/>
  <c r="L54" i="6" s="1"/>
  <c r="K7" i="6"/>
  <c r="L7" i="6" s="1"/>
  <c r="K71" i="6"/>
  <c r="L71" i="6" s="1"/>
  <c r="K33" i="6"/>
  <c r="L33" i="6" s="1"/>
  <c r="K97" i="6"/>
  <c r="L97" i="6" s="1"/>
  <c r="K66" i="6"/>
  <c r="L66" i="6" s="1"/>
  <c r="K27" i="6"/>
  <c r="L27" i="6" s="1"/>
  <c r="K91" i="6"/>
  <c r="L91" i="6" s="1"/>
  <c r="K52" i="6"/>
  <c r="L52" i="6" s="1"/>
  <c r="K70" i="6"/>
  <c r="L70" i="6" s="1"/>
  <c r="K68" i="6"/>
  <c r="L68" i="6" s="1"/>
  <c r="W5" i="6"/>
  <c r="K14" i="6"/>
  <c r="L14" i="6" s="1"/>
  <c r="K57" i="6"/>
  <c r="L57" i="6" s="1"/>
  <c r="K12" i="6"/>
  <c r="L12" i="6" s="1"/>
  <c r="K69" i="6"/>
  <c r="L69" i="6" s="1"/>
  <c r="K88" i="6"/>
  <c r="L88" i="6" s="1"/>
  <c r="K62" i="6"/>
  <c r="L62" i="6" s="1"/>
  <c r="K15" i="6"/>
  <c r="L15" i="6" s="1"/>
  <c r="K79" i="6"/>
  <c r="L79" i="6" s="1"/>
  <c r="K41" i="6"/>
  <c r="L41" i="6" s="1"/>
  <c r="K10" i="6"/>
  <c r="L10" i="6" s="1"/>
  <c r="K74" i="6"/>
  <c r="L74" i="6" s="1"/>
  <c r="K35" i="6"/>
  <c r="L35" i="6" s="1"/>
  <c r="K99" i="6"/>
  <c r="L99" i="6" s="1"/>
  <c r="K60" i="6"/>
  <c r="L60" i="6" s="1"/>
  <c r="K72" i="6"/>
  <c r="L72" i="6" s="1"/>
  <c r="K13" i="6"/>
  <c r="L13" i="6" s="1"/>
  <c r="K87" i="6"/>
  <c r="L87" i="6" s="1"/>
  <c r="K43" i="6"/>
  <c r="L43" i="6" s="1"/>
  <c r="K78" i="6"/>
  <c r="L78" i="6" s="1"/>
  <c r="K90" i="6"/>
  <c r="L90" i="6" s="1"/>
  <c r="K77" i="6"/>
  <c r="L77" i="6" s="1"/>
  <c r="K93" i="6"/>
  <c r="L93" i="6" s="1"/>
  <c r="K22" i="6"/>
  <c r="L22" i="6" s="1"/>
  <c r="K86" i="6"/>
  <c r="L86" i="6" s="1"/>
  <c r="K39" i="6"/>
  <c r="L39" i="6" s="1"/>
  <c r="K24" i="6"/>
  <c r="L24" i="6" s="1"/>
  <c r="K65" i="6"/>
  <c r="L65" i="6" s="1"/>
  <c r="K34" i="6"/>
  <c r="L34" i="6" s="1"/>
  <c r="K98" i="6"/>
  <c r="L98" i="6" s="1"/>
  <c r="K59" i="6"/>
  <c r="L59" i="6" s="1"/>
  <c r="K20" i="6"/>
  <c r="L20" i="6" s="1"/>
  <c r="K84" i="6"/>
  <c r="L84" i="6" s="1"/>
  <c r="W26" i="6"/>
  <c r="K45" i="6"/>
  <c r="L45" i="6" s="1"/>
  <c r="K16" i="6"/>
  <c r="L16" i="6" s="1"/>
  <c r="K30" i="6"/>
  <c r="L30" i="6" s="1"/>
  <c r="K94" i="6"/>
  <c r="L94" i="6" s="1"/>
  <c r="K47" i="6"/>
  <c r="L47" i="6" s="1"/>
  <c r="K9" i="6"/>
  <c r="L9" i="6" s="1"/>
  <c r="K73" i="6"/>
  <c r="L73" i="6" s="1"/>
  <c r="K42" i="6"/>
  <c r="L42" i="6" s="1"/>
  <c r="K67" i="6"/>
  <c r="L67" i="6" s="1"/>
  <c r="K28" i="6"/>
  <c r="L28" i="6" s="1"/>
  <c r="K92" i="6"/>
  <c r="L92" i="6" s="1"/>
  <c r="W28" i="6" l="1"/>
  <c r="X28" i="6" s="1"/>
  <c r="W33" i="6"/>
  <c r="X33" i="6" s="1"/>
  <c r="W42" i="6"/>
  <c r="X42" i="6" s="1"/>
  <c r="W51" i="6"/>
  <c r="X51" i="6" s="1"/>
  <c r="W60" i="6"/>
  <c r="X60" i="6" s="1"/>
  <c r="W34" i="6"/>
  <c r="X34" i="6" s="1"/>
  <c r="W53" i="6"/>
  <c r="X53" i="6" s="1"/>
  <c r="W35" i="6"/>
  <c r="X35" i="6" s="1"/>
  <c r="W31" i="6"/>
  <c r="X31" i="6" s="1"/>
  <c r="W41" i="6"/>
  <c r="X41" i="6" s="1"/>
  <c r="W59" i="6"/>
  <c r="X59" i="6" s="1"/>
  <c r="W46" i="6"/>
  <c r="X46" i="6" s="1"/>
  <c r="W29" i="6"/>
  <c r="X29" i="6" s="1"/>
  <c r="W38" i="6"/>
  <c r="X38" i="6" s="1"/>
  <c r="W47" i="6"/>
  <c r="X47" i="6" s="1"/>
  <c r="W56" i="6"/>
  <c r="X56" i="6" s="1"/>
  <c r="W27" i="6"/>
  <c r="X27" i="6" s="1"/>
  <c r="W43" i="6"/>
  <c r="X43" i="6" s="1"/>
  <c r="W52" i="6"/>
  <c r="X52" i="6" s="1"/>
  <c r="W57" i="6"/>
  <c r="X57" i="6" s="1"/>
  <c r="W39" i="6"/>
  <c r="X39" i="6" s="1"/>
  <c r="W48" i="6"/>
  <c r="X48" i="6" s="1"/>
  <c r="W49" i="6"/>
  <c r="X49" i="6" s="1"/>
  <c r="W54" i="6"/>
  <c r="X54" i="6" s="1"/>
  <c r="W36" i="6"/>
  <c r="X36" i="6" s="1"/>
  <c r="W50" i="6"/>
  <c r="X50" i="6" s="1"/>
  <c r="W37" i="6"/>
  <c r="X37" i="6" s="1"/>
  <c r="W55" i="6"/>
  <c r="X55" i="6" s="1"/>
  <c r="W45" i="6"/>
  <c r="X45" i="6" s="1"/>
  <c r="W30" i="6"/>
  <c r="X30" i="6" s="1"/>
  <c r="W44" i="6"/>
  <c r="X44" i="6" s="1"/>
  <c r="W58" i="6"/>
  <c r="X58" i="6" s="1"/>
  <c r="W40" i="6"/>
  <c r="X40" i="6" s="1"/>
  <c r="W32" i="6"/>
  <c r="X32" i="6" s="1"/>
  <c r="W12" i="6"/>
  <c r="X12" i="6" s="1"/>
  <c r="W8" i="6"/>
  <c r="X8" i="6" s="1"/>
  <c r="W15" i="6"/>
  <c r="X15" i="6" s="1"/>
  <c r="W19" i="6"/>
  <c r="X19" i="6" s="1"/>
  <c r="W7" i="6"/>
  <c r="X7" i="6" s="1"/>
  <c r="W20" i="6"/>
  <c r="X20" i="6" s="1"/>
  <c r="W11" i="6"/>
  <c r="X11" i="6" s="1"/>
  <c r="W14" i="6"/>
  <c r="X14" i="6" s="1"/>
  <c r="W10" i="6"/>
  <c r="X10" i="6" s="1"/>
  <c r="W6" i="6"/>
  <c r="X6" i="6" s="1"/>
  <c r="W17" i="6"/>
  <c r="X17" i="6" s="1"/>
  <c r="W13" i="6"/>
  <c r="X13" i="6" s="1"/>
  <c r="W16" i="6"/>
  <c r="X16" i="6" s="1"/>
  <c r="W18" i="6"/>
  <c r="X18" i="6" s="1"/>
  <c r="W9" i="6"/>
  <c r="X9" i="6" s="1"/>
  <c r="E74" i="4" l="1"/>
  <c r="F74" i="4"/>
  <c r="G55" i="4" l="1"/>
  <c r="F75" i="4" l="1"/>
  <c r="D30" i="4" l="1"/>
  <c r="E75" i="4"/>
  <c r="G54" i="4" l="1"/>
  <c r="G53" i="4" s="1"/>
  <c r="E72" i="4"/>
  <c r="E73" i="4" l="1"/>
  <c r="E76" i="4" s="1"/>
  <c r="F72" i="4" s="1"/>
  <c r="F73" i="4" s="1"/>
  <c r="F76" i="4" s="1"/>
  <c r="G72" i="4" s="1"/>
  <c r="G73" i="4" l="1"/>
  <c r="D33" i="4"/>
  <c r="I29" i="4" s="1"/>
  <c r="I31" i="4" s="1"/>
  <c r="L8" i="4" l="1"/>
  <c r="L10" i="4"/>
  <c r="L9" i="4"/>
  <c r="L11" i="4"/>
  <c r="D34" i="4"/>
  <c r="D26" i="4" l="1"/>
  <c r="H8" i="4" l="1"/>
  <c r="K8" i="4" l="1"/>
  <c r="H17" i="4"/>
  <c r="D25" i="4" s="1"/>
  <c r="G50" i="4" l="1"/>
  <c r="G61" i="4" s="1"/>
  <c r="G74" i="4" s="1"/>
  <c r="D27" i="4"/>
  <c r="E27" i="4" s="1"/>
  <c r="G75" i="4" l="1"/>
  <c r="G76" i="4" l="1"/>
</calcChain>
</file>

<file path=xl/comments1.xml><?xml version="1.0" encoding="utf-8"?>
<comments xmlns="http://schemas.openxmlformats.org/spreadsheetml/2006/main">
  <authors>
    <author>Author</author>
  </authors>
  <commentList>
    <comment ref="G57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No annual adjustment expected other than unders/overs adjustment, therefore =0</t>
        </r>
      </text>
    </comment>
  </commentList>
</comments>
</file>

<file path=xl/sharedStrings.xml><?xml version="1.0" encoding="utf-8"?>
<sst xmlns="http://schemas.openxmlformats.org/spreadsheetml/2006/main" count="387" uniqueCount="225">
  <si>
    <t>Pricing Tariff Approval Model</t>
  </si>
  <si>
    <t>Electricity Distribution Network Service Provider</t>
  </si>
  <si>
    <t>For 2021–26 regulatory control period</t>
  </si>
  <si>
    <t>The AER is required to update:</t>
  </si>
  <si>
    <t>The business is required to update:</t>
  </si>
  <si>
    <t>'Input'</t>
  </si>
  <si>
    <t>All inputs required for escalation of prices or revenue caps, as well as business name and year</t>
  </si>
  <si>
    <t>'Metering'</t>
  </si>
  <si>
    <t>Proposed tariffs for (t)</t>
  </si>
  <si>
    <t>Proposed tariff prices for (t)</t>
  </si>
  <si>
    <t>Approved tariff and prices for (t-1)</t>
  </si>
  <si>
    <t>Forecast quantities for (t)</t>
  </si>
  <si>
    <t>Actual revenue from RINs for (t-2) (and (t-3) in relevant transition years)</t>
  </si>
  <si>
    <t>Estimated revenue for (t-2) in relevant transition years</t>
  </si>
  <si>
    <t>Opening unders/overs account balance from previous proposal</t>
  </si>
  <si>
    <t>Estimated quantities for (t-1)</t>
  </si>
  <si>
    <t>'ACS escalators'</t>
  </si>
  <si>
    <t>Approved services (at start of RCP only)</t>
  </si>
  <si>
    <t>'ACS prices'</t>
  </si>
  <si>
    <t>Proposed prices for all price-capped ACS services for (t) (NB default prices set at relevant cap, overwrite default price if proposing an alternate price)</t>
  </si>
  <si>
    <t>ANS x-factors (at start of RCP only)</t>
  </si>
  <si>
    <t>A-factor adjustments where relevant (generally should be blank or 0)</t>
  </si>
  <si>
    <t>Year 1 price caps set in determination (at start of RCP only)</t>
  </si>
  <si>
    <t>Default price formula where overwritten in previous years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</si>
  <si>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</si>
  <si>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</si>
  <si>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</si>
  <si>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</si>
  <si>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</si>
  <si>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Incorporated t-3 period to unders and overs for transition</t>
  </si>
  <si>
    <t>Added mechanism to allow prices in multiple formats (e.g. cents/day, $/year, etc.)</t>
  </si>
  <si>
    <t>Moved some general/basic inputs to input page from revenue compliance pages</t>
  </si>
  <si>
    <t xml:space="preserve">Tariff Approval Template for </t>
  </si>
  <si>
    <t>financial year ending</t>
  </si>
  <si>
    <t>t</t>
  </si>
  <si>
    <t>=</t>
  </si>
  <si>
    <t>Initial year</t>
  </si>
  <si>
    <t>t-1</t>
  </si>
  <si>
    <t>2021/22</t>
  </si>
  <si>
    <t>t-2</t>
  </si>
  <si>
    <t>t-3</t>
  </si>
  <si>
    <t>t-4</t>
  </si>
  <si>
    <t>CPI</t>
  </si>
  <si>
    <t>CPI Index used changes for transition from calendar years to financial years</t>
  </si>
  <si>
    <t>CPI Index June 2016</t>
  </si>
  <si>
    <t>CPI Index June 2017</t>
  </si>
  <si>
    <t>CPI 2018</t>
  </si>
  <si>
    <t>CPI Index June 2018</t>
  </si>
  <si>
    <t>CPI 2019</t>
  </si>
  <si>
    <t>CPI measured as June t-2 to June t-1 for year t in 2016–20 determination (t is calendar year), e.g. June 2018 - June 2019 for year 2020</t>
  </si>
  <si>
    <t>CPI Index June 2019</t>
  </si>
  <si>
    <t>CPI 2020</t>
  </si>
  <si>
    <t>CPI measured as December t-2 to December t-1 for year t in 2021–26 determination (t is financial year), e.g. December 2019 (2019/20) - December 2020 (2020/21) for year 2021/22</t>
  </si>
  <si>
    <t>CPI Index December 2019</t>
  </si>
  <si>
    <t>CPI HY21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</si>
  <si>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</si>
  <si>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CPI Index December 2020</t>
  </si>
  <si>
    <t>CPI 2021/22</t>
  </si>
  <si>
    <t>CPI Index December 2021</t>
  </si>
  <si>
    <t>CPI 2022/23</t>
  </si>
  <si>
    <t>CPI Index December 2022</t>
  </si>
  <si>
    <t>CPI 2023/24</t>
  </si>
  <si>
    <t>CPI Index December 2023</t>
  </si>
  <si>
    <t>CPI 2024/25</t>
  </si>
  <si>
    <t>CPI Index December 2024</t>
  </si>
  <si>
    <t>CPI 2025/26</t>
  </si>
  <si>
    <t>(t-3)</t>
  </si>
  <si>
    <t>(t-2)</t>
  </si>
  <si>
    <t>(t-1)</t>
  </si>
  <si>
    <t>(t)</t>
  </si>
  <si>
    <t>Real Vanilla WACC (rvw)</t>
  </si>
  <si>
    <t>2022/23</t>
  </si>
  <si>
    <t>2023/24</t>
  </si>
  <si>
    <t>2024/25</t>
  </si>
  <si>
    <t>2025/26</t>
  </si>
  <si>
    <t>HY21</t>
  </si>
  <si>
    <t>Jemena</t>
  </si>
  <si>
    <t>CitiPower</t>
  </si>
  <si>
    <t>Powercor</t>
  </si>
  <si>
    <t>AusNet Services</t>
  </si>
  <si>
    <t>United Energy</t>
  </si>
  <si>
    <t>Metering</t>
  </si>
  <si>
    <t>Pass through Amounts</t>
  </si>
  <si>
    <t>Metering adjustments</t>
  </si>
  <si>
    <t>Allowed revenues</t>
  </si>
  <si>
    <t>Metering (TAR for U/O)</t>
  </si>
  <si>
    <t>Metering AAR (for t-1 values)</t>
  </si>
  <si>
    <t>Metering over/unders adjustment (for t-1 values)</t>
  </si>
  <si>
    <t>cents</t>
  </si>
  <si>
    <t>day</t>
  </si>
  <si>
    <t>$</t>
  </si>
  <si>
    <t>year</t>
  </si>
  <si>
    <t>Charging parameters</t>
  </si>
  <si>
    <t>Days in year</t>
  </si>
  <si>
    <t>Movement</t>
  </si>
  <si>
    <t>Side Constraint</t>
  </si>
  <si>
    <t>Proposed tariff</t>
  </si>
  <si>
    <t>Existing tariff</t>
  </si>
  <si>
    <t>Cust #</t>
  </si>
  <si>
    <t>Fixed</t>
  </si>
  <si>
    <t>Business also to update estimated t-1 quantities at bottom of worksheet to calculate estimated revenue for t-1</t>
  </si>
  <si>
    <t>Year (t)</t>
  </si>
  <si>
    <t>Table 1- Compliance with AER Final Determination Total Metering Annual Revenue</t>
  </si>
  <si>
    <t>Metering tariff rebalancing control</t>
  </si>
  <si>
    <t>Revenue from  Metering charges for year t</t>
  </si>
  <si>
    <t>Total Annual Metering Revenue for year t</t>
  </si>
  <si>
    <t>Table 2 - Total Annual Revenue for year t (TARMt)</t>
  </si>
  <si>
    <t>Adjusted Annual Smoothed Metering Revenue for year t</t>
  </si>
  <si>
    <t>C factor for year t</t>
  </si>
  <si>
    <t>T factor for year t</t>
  </si>
  <si>
    <t>B factor for year t</t>
  </si>
  <si>
    <t>Total Annual Revenue for year t</t>
  </si>
  <si>
    <t>Table 3 -  Adjusted Annual Revenue for year t (ARt)</t>
  </si>
  <si>
    <t>Adjusted Annual Smoothed Revenue for year t-1</t>
  </si>
  <si>
    <t>CPI for period t</t>
  </si>
  <si>
    <t>X factor for period t</t>
  </si>
  <si>
    <t>Adjusted Annual Smoothed Revenue for year t</t>
  </si>
  <si>
    <t>Table 4 - Metering Services Recovery Arrangements</t>
  </si>
  <si>
    <t>Year t-2</t>
  </si>
  <si>
    <t>Year t-1</t>
  </si>
  <si>
    <t>Year t</t>
  </si>
  <si>
    <t>(estimate)</t>
  </si>
  <si>
    <t>(forecast)</t>
  </si>
  <si>
    <t>t-3 will apply in the 2021/22 and 2022/23 pricing proposals</t>
  </si>
  <si>
    <t>Actual revenues being trued up should reflect values in annual reporting RINs, or else auditing requirements apply.</t>
  </si>
  <si>
    <t>(A) Revenue from Metering charges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</si>
  <si>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</si>
  <si>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</si>
  <si>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 xml:space="preserve">(B) Less TARM for regulatory year = </t>
  </si>
  <si>
    <t>TARM should be as per approved pricing proposal for that year, unless otherwise advised by AER.</t>
  </si>
  <si>
    <t>+ Adjusted annual smoothed revenue</t>
  </si>
  <si>
    <t>+ C factor</t>
  </si>
  <si>
    <t>+ T factor</t>
  </si>
  <si>
    <t>+ (B factor - under/over recovery adjustment)</t>
  </si>
  <si>
    <t>Table 5 - Metering Services Unders and Overs Account</t>
  </si>
  <si>
    <t>Calendar year</t>
  </si>
  <si>
    <t>Nominal WACC</t>
  </si>
  <si>
    <t>Opening balance</t>
  </si>
  <si>
    <t>Interest on Opening balance</t>
  </si>
  <si>
    <t>Under/over recovery of revenue for regulatory year</t>
  </si>
  <si>
    <t>Interest on under/over recovery for regulatory year</t>
  </si>
  <si>
    <t>Closing balance of Metering Services overs/ (unders) account</t>
  </si>
  <si>
    <t>The DNSP is expected to achieve a closing balance as close to (but not less than) zero as practicable in its annual metering charges unders and overs account in each forecast year (t).</t>
  </si>
  <si>
    <t>ACS price caps</t>
  </si>
  <si>
    <t>ANS x-factor</t>
  </si>
  <si>
    <t>A-factor adjustments will be set using weighted averages based on t-1 prices and volumes as provided by business in any application for an adjustment under the A-factor (e.g. cost pass-through), to be input by AER as $ values</t>
  </si>
  <si>
    <t>Ancillary network Services</t>
  </si>
  <si>
    <t>X-factor</t>
  </si>
  <si>
    <t>A-factor</t>
  </si>
  <si>
    <t>Metering exit fees</t>
  </si>
  <si>
    <t>Service</t>
  </si>
  <si>
    <t>BH</t>
  </si>
  <si>
    <t>AH</t>
  </si>
  <si>
    <t>Quoted Services labour rates</t>
  </si>
  <si>
    <t>Other</t>
  </si>
  <si>
    <t>Proposed prices for (t) are set at the relevant price cap by default. Businesses may propose any price under the price cap.</t>
  </si>
  <si>
    <t>Price caps</t>
  </si>
  <si>
    <t>Proposed price</t>
  </si>
  <si>
    <t>Compliant?</t>
  </si>
  <si>
    <t>Initial model for 2021–26, metering and inputs based on previous model used for 2015–20 period</t>
  </si>
  <si>
    <t>Updated to reflect 2021–26 determination</t>
  </si>
  <si>
    <t>Added price-capped alternative control services to model</t>
  </si>
  <si>
    <t>Alternative Control Services</t>
  </si>
  <si>
    <t>Connections</t>
  </si>
  <si>
    <t>(C) Revenue deliberately under-recovered in year</t>
  </si>
  <si>
    <t>(A minus B plus C) Under/over recovery of revenue for regulatory year</t>
  </si>
  <si>
    <t>X-factors for metering exit fees (at start of RCP only)</t>
  </si>
  <si>
    <t>Incorporated deliberate under-recoveries into unders and overs</t>
  </si>
  <si>
    <t>Any deliberate under-recoveries</t>
  </si>
  <si>
    <t>May 2021</t>
  </si>
  <si>
    <t>Forecast 21–26</t>
  </si>
  <si>
    <t>WACC true-up</t>
  </si>
  <si>
    <t xml:space="preserve">Single phase single element </t>
  </si>
  <si>
    <t>Single phase, two element with contactor</t>
  </si>
  <si>
    <t xml:space="preserve">Multiphase </t>
  </si>
  <si>
    <t>Multiphase, direct connected with contactor</t>
  </si>
  <si>
    <t>Multiphase Current Transformer connected</t>
  </si>
  <si>
    <t>Single-phase overhead</t>
  </si>
  <si>
    <t>Single-phase underground</t>
  </si>
  <si>
    <t>Single-phase underground with a directly connected meter on group metering panel</t>
  </si>
  <si>
    <t>Multi-phase overhead with a directly connected meter</t>
  </si>
  <si>
    <t>Multi-phase overhead with a CT connected meter</t>
  </si>
  <si>
    <t>Multi-phase underground with a directly connected meter</t>
  </si>
  <si>
    <t>Multi-phase underground with a directly connected meter on group metering panel</t>
  </si>
  <si>
    <t>Multi-phase underground with a CT connected meter</t>
  </si>
  <si>
    <t>95mm2 overhead service from LVABC</t>
  </si>
  <si>
    <t>Establish temporary supply connection</t>
  </si>
  <si>
    <t>Appointment - inspection of group or CT metering prior to connection</t>
  </si>
  <si>
    <t>Service truck - Disconnect/Reconnect at pole or pit</t>
  </si>
  <si>
    <t>Meter equipment test</t>
  </si>
  <si>
    <t>Meter equipment test - Each additional meter at same site</t>
  </si>
  <si>
    <t>Wasted Truck Visit – customer not ready for their requested works</t>
  </si>
  <si>
    <t>Manual assessment of PV &amp; small generator installation enquiry, 4.6kW to 15kW</t>
  </si>
  <si>
    <t>Manual assessment of PV &amp; small generator installation enquiry, 15kW to 30kW</t>
  </si>
  <si>
    <t>Security and watchmen lights</t>
  </si>
  <si>
    <t>Construction overhead install</t>
  </si>
  <si>
    <t>Construction underground install</t>
  </si>
  <si>
    <t>Construction substation install</t>
  </si>
  <si>
    <t>Planner including vehicle</t>
  </si>
  <si>
    <t>Supervisor including vehicle</t>
  </si>
  <si>
    <t>Design</t>
  </si>
  <si>
    <t>Drafting</t>
  </si>
  <si>
    <t>Survey</t>
  </si>
  <si>
    <t>Tech officer</t>
  </si>
  <si>
    <t>Line inspector</t>
  </si>
  <si>
    <t>Contract supervision</t>
  </si>
  <si>
    <t>Protection engineer</t>
  </si>
  <si>
    <t>Maintenance planner</t>
  </si>
  <si>
    <t>Senior engineer</t>
  </si>
  <si>
    <t>Labour - wages</t>
  </si>
  <si>
    <t>Electrical tester including vehicle and equipment</t>
  </si>
  <si>
    <t>Labour - design</t>
  </si>
  <si>
    <t>Auxiliary metering services</t>
  </si>
  <si>
    <t>Remote special read</t>
  </si>
  <si>
    <t>Remote meter reconfig</t>
  </si>
  <si>
    <t>Field officer visit</t>
  </si>
  <si>
    <t>MC cyclic meter read fee</t>
  </si>
  <si>
    <t>Priority re-energisation</t>
  </si>
  <si>
    <t>Non-standard AMI request</t>
  </si>
  <si>
    <t>Type 7 metering services</t>
  </si>
  <si>
    <t>Per NMI</t>
  </si>
  <si>
    <t>Per light</t>
  </si>
  <si>
    <t>Single phase two element with contactor</t>
  </si>
  <si>
    <t>Multiphase with contactor</t>
  </si>
  <si>
    <t>Multiphase current transformer connected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</si>
</sst>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.00;[Red]&quot;$&quot;#,##0.00"/>
    <numFmt numFmtId="167" formatCode="0.000%"/>
    <numFmt numFmtId="168" formatCode="&quot;$&quot;#,##0.0000;[Red]&quot;$&quot;#,##0.0000"/>
    <numFmt numFmtId="169" formatCode="&quot;$&quot;#,##0.000000;[Red]&quot;$&quot;#,##0.000000"/>
    <numFmt numFmtId="170" formatCode="0.0000%"/>
    <numFmt numFmtId="171" formatCode="_(* #,##0.00_);_(* \(#,##0.00\);_(* &quot;-&quot;??_);_(@_)"/>
    <numFmt numFmtId="172" formatCode="_-* #,##0.000_-;\-* #,##0.000_-;_-* &quot;-&quot;??_-;_-@_-"/>
    <numFmt numFmtId="173" formatCode="_-* #,##0_-;\-* #,##0_-;_-* &quot;-&quot;??_-;_-@_-"/>
    <numFmt numFmtId="174" formatCode="0.000"/>
    <numFmt numFmtId="175" formatCode="#,##0.000"/>
  </numFmts>
  <fonts count="4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name val="Arial"/>
      <family val="2"/>
    </font>
    <font>
      <sz val="10"/>
      <color theme="0" tint="-0.24997711111789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22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B9CCE4"/>
        <bgColor indexed="64"/>
      </patternFill>
    </fill>
    <fill>
      <patternFill patternType="solid">
        <fgColor theme="9"/>
      </patternFill>
    </fill>
    <fill>
      <patternFill patternType="solid">
        <fgColor theme="4" tint="0.39997558519241921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medium">
        <color indexed="64"/>
      </bottom>
      <diagonal/>
    </border>
  </borders>
  <cellStyleXfs count="31">
    <xf numFmtId="0" fontId="0" fillId="0" borderId="0"/>
    <xf numFmtId="0" fontId="12" fillId="0" borderId="0"/>
    <xf numFmtId="0" fontId="11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/>
    <xf numFmtId="3" fontId="11" fillId="7" borderId="0" applyNumberFormat="0" applyFont="0" applyBorder="0" applyAlignment="0">
      <alignment horizontal="right"/>
      <protection locked="0"/>
    </xf>
    <xf numFmtId="0" fontId="1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8" fillId="13" borderId="0" applyNumberFormat="0" applyBorder="0" applyAlignment="0" applyProtection="0"/>
    <xf numFmtId="44" fontId="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9" fillId="14" borderId="56">
      <alignment horizontal="right" vertical="center" wrapText="1" indent="1"/>
    </xf>
    <xf numFmtId="44" fontId="2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39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ill="1"/>
    <xf numFmtId="0" fontId="0" fillId="2" borderId="0" xfId="0" applyFill="1"/>
    <xf numFmtId="0" fontId="0" fillId="2" borderId="0" xfId="0" quotePrefix="1" applyFill="1"/>
    <xf numFmtId="0" fontId="9" fillId="3" borderId="0" xfId="0" applyFont="1" applyFill="1"/>
    <xf numFmtId="0" fontId="10" fillId="3" borderId="0" xfId="0" applyFont="1" applyFill="1"/>
    <xf numFmtId="0" fontId="11" fillId="3" borderId="0" xfId="0" applyFont="1" applyFill="1"/>
    <xf numFmtId="0" fontId="11" fillId="3" borderId="1" xfId="0" applyFont="1" applyFill="1" applyBorder="1"/>
    <xf numFmtId="0" fontId="0" fillId="0" borderId="1" xfId="0" applyBorder="1"/>
    <xf numFmtId="0" fontId="11" fillId="3" borderId="2" xfId="0" applyFont="1" applyFill="1" applyBorder="1" applyAlignment="1">
      <alignment horizontal="left"/>
    </xf>
    <xf numFmtId="17" fontId="11" fillId="3" borderId="2" xfId="0" quotePrefix="1" applyNumberFormat="1" applyFont="1" applyFill="1" applyBorder="1"/>
    <xf numFmtId="0" fontId="11" fillId="3" borderId="2" xfId="0" applyFont="1" applyFill="1" applyBorder="1"/>
    <xf numFmtId="0" fontId="11" fillId="3" borderId="0" xfId="0" applyFont="1" applyFill="1" applyBorder="1"/>
    <xf numFmtId="0" fontId="3" fillId="0" borderId="0" xfId="0" applyFont="1"/>
    <xf numFmtId="0" fontId="3" fillId="0" borderId="0" xfId="0" applyFont="1" applyAlignment="1">
      <alignment horizontal="left" vertical="center" indent="2"/>
    </xf>
    <xf numFmtId="0" fontId="13" fillId="0" borderId="0" xfId="1" applyFont="1"/>
    <xf numFmtId="0" fontId="11" fillId="0" borderId="0" xfId="1" applyFont="1"/>
    <xf numFmtId="3" fontId="11" fillId="0" borderId="0" xfId="1" applyNumberFormat="1" applyFont="1"/>
    <xf numFmtId="0" fontId="14" fillId="0" borderId="0" xfId="1" applyFont="1"/>
    <xf numFmtId="0" fontId="11" fillId="0" borderId="0" xfId="1" applyFont="1" applyAlignment="1">
      <alignment horizontal="right"/>
    </xf>
    <xf numFmtId="0" fontId="15" fillId="0" borderId="0" xfId="1" applyFont="1" applyAlignment="1">
      <alignment horizontal="center"/>
    </xf>
    <xf numFmtId="0" fontId="15" fillId="4" borderId="3" xfId="2" applyFont="1" applyFill="1" applyBorder="1"/>
    <xf numFmtId="0" fontId="15" fillId="4" borderId="4" xfId="2" applyFont="1" applyFill="1" applyBorder="1"/>
    <xf numFmtId="0" fontId="11" fillId="4" borderId="4" xfId="2" applyFont="1" applyFill="1" applyBorder="1"/>
    <xf numFmtId="0" fontId="11" fillId="4" borderId="5" xfId="2" applyFont="1" applyFill="1" applyBorder="1"/>
    <xf numFmtId="0" fontId="16" fillId="4" borderId="6" xfId="2" applyFont="1" applyFill="1" applyBorder="1"/>
    <xf numFmtId="0" fontId="16" fillId="4" borderId="2" xfId="2" applyFont="1" applyFill="1" applyBorder="1"/>
    <xf numFmtId="0" fontId="11" fillId="4" borderId="2" xfId="2" applyFont="1" applyFill="1" applyBorder="1"/>
    <xf numFmtId="0" fontId="11" fillId="4" borderId="0" xfId="2" applyFont="1" applyFill="1" applyBorder="1"/>
    <xf numFmtId="0" fontId="11" fillId="0" borderId="0" xfId="1" applyFont="1" applyBorder="1"/>
    <xf numFmtId="0" fontId="11" fillId="4" borderId="8" xfId="2" applyFont="1" applyFill="1" applyBorder="1"/>
    <xf numFmtId="0" fontId="16" fillId="4" borderId="9" xfId="2" applyFont="1" applyFill="1" applyBorder="1"/>
    <xf numFmtId="0" fontId="16" fillId="4" borderId="0" xfId="2" applyFont="1" applyFill="1" applyBorder="1"/>
    <xf numFmtId="0" fontId="11" fillId="0" borderId="11" xfId="1" applyFont="1" applyBorder="1" applyAlignment="1">
      <alignment horizontal="center"/>
    </xf>
    <xf numFmtId="10" fontId="11" fillId="0" borderId="12" xfId="3" applyNumberFormat="1" applyFont="1" applyBorder="1" applyAlignment="1">
      <alignment horizontal="center"/>
    </xf>
    <xf numFmtId="10" fontId="11" fillId="4" borderId="0" xfId="4" applyNumberFormat="1" applyFont="1" applyFill="1" applyBorder="1"/>
    <xf numFmtId="0" fontId="11" fillId="0" borderId="14" xfId="1" applyFont="1" applyBorder="1" applyAlignment="1">
      <alignment horizontal="center"/>
    </xf>
    <xf numFmtId="10" fontId="11" fillId="0" borderId="15" xfId="3" applyNumberFormat="1" applyFont="1" applyBorder="1" applyAlignment="1">
      <alignment horizontal="center"/>
    </xf>
    <xf numFmtId="0" fontId="11" fillId="4" borderId="15" xfId="2" applyFont="1" applyFill="1" applyBorder="1"/>
    <xf numFmtId="0" fontId="16" fillId="4" borderId="16" xfId="2" applyFont="1" applyFill="1" applyBorder="1"/>
    <xf numFmtId="0" fontId="16" fillId="4" borderId="1" xfId="2" applyFont="1" applyFill="1" applyBorder="1"/>
    <xf numFmtId="0" fontId="11" fillId="4" borderId="1" xfId="2" applyFont="1" applyFill="1" applyBorder="1"/>
    <xf numFmtId="0" fontId="11" fillId="0" borderId="17" xfId="1" applyFont="1" applyBorder="1" applyAlignment="1">
      <alignment horizontal="center"/>
    </xf>
    <xf numFmtId="10" fontId="11" fillId="0" borderId="18" xfId="3" applyNumberFormat="1" applyFont="1" applyBorder="1" applyAlignment="1">
      <alignment horizontal="center"/>
    </xf>
    <xf numFmtId="0" fontId="11" fillId="4" borderId="9" xfId="2" applyFont="1" applyFill="1" applyBorder="1"/>
    <xf numFmtId="165" fontId="11" fillId="4" borderId="0" xfId="4" applyNumberFormat="1" applyFont="1" applyFill="1" applyBorder="1"/>
    <xf numFmtId="10" fontId="11" fillId="4" borderId="10" xfId="4" applyNumberFormat="1" applyFont="1" applyFill="1" applyBorder="1"/>
    <xf numFmtId="0" fontId="15" fillId="0" borderId="0" xfId="1" applyFont="1" applyBorder="1"/>
    <xf numFmtId="0" fontId="11" fillId="4" borderId="19" xfId="2" applyFont="1" applyFill="1" applyBorder="1"/>
    <xf numFmtId="0" fontId="11" fillId="4" borderId="20" xfId="2" applyFont="1" applyFill="1" applyBorder="1"/>
    <xf numFmtId="0" fontId="11" fillId="4" borderId="21" xfId="2" applyFont="1" applyFill="1" applyBorder="1"/>
    <xf numFmtId="0" fontId="15" fillId="0" borderId="3" xfId="1" applyFont="1" applyBorder="1" applyAlignment="1"/>
    <xf numFmtId="0" fontId="15" fillId="0" borderId="4" xfId="1" applyFont="1" applyBorder="1" applyAlignment="1"/>
    <xf numFmtId="0" fontId="11" fillId="0" borderId="5" xfId="1" applyFont="1" applyBorder="1" applyAlignment="1"/>
    <xf numFmtId="0" fontId="15" fillId="0" borderId="22" xfId="1" applyFont="1" applyBorder="1" applyAlignment="1">
      <alignment horizontal="right"/>
    </xf>
    <xf numFmtId="0" fontId="15" fillId="0" borderId="23" xfId="1" applyFont="1" applyBorder="1" applyAlignment="1">
      <alignment horizontal="right"/>
    </xf>
    <xf numFmtId="0" fontId="15" fillId="0" borderId="4" xfId="1" applyFont="1" applyBorder="1" applyAlignment="1">
      <alignment horizontal="right"/>
    </xf>
    <xf numFmtId="0" fontId="11" fillId="0" borderId="23" xfId="1" applyFont="1" applyBorder="1"/>
    <xf numFmtId="0" fontId="11" fillId="0" borderId="24" xfId="1" applyFont="1" applyBorder="1"/>
    <xf numFmtId="0" fontId="15" fillId="0" borderId="16" xfId="1" applyFont="1" applyBorder="1"/>
    <xf numFmtId="0" fontId="15" fillId="0" borderId="1" xfId="1" applyFont="1" applyBorder="1"/>
    <xf numFmtId="0" fontId="11" fillId="0" borderId="25" xfId="1" applyFont="1" applyBorder="1" applyAlignment="1"/>
    <xf numFmtId="0" fontId="11" fillId="0" borderId="0" xfId="1" applyFont="1" applyFill="1" applyBorder="1"/>
    <xf numFmtId="0" fontId="15" fillId="0" borderId="26" xfId="1" applyFont="1" applyBorder="1" applyAlignment="1">
      <alignment horizontal="right"/>
    </xf>
    <xf numFmtId="0" fontId="15" fillId="0" borderId="13" xfId="1" applyFont="1" applyBorder="1" applyAlignment="1">
      <alignment horizontal="right"/>
    </xf>
    <xf numFmtId="0" fontId="15" fillId="0" borderId="1" xfId="1" applyFont="1" applyBorder="1" applyAlignment="1">
      <alignment horizontal="right"/>
    </xf>
    <xf numFmtId="0" fontId="11" fillId="0" borderId="27" xfId="1" applyFont="1" applyBorder="1"/>
    <xf numFmtId="0" fontId="15" fillId="0" borderId="13" xfId="1" applyFont="1" applyBorder="1"/>
    <xf numFmtId="0" fontId="15" fillId="0" borderId="28" xfId="1" applyFont="1" applyBorder="1" applyAlignment="1">
      <alignment horizontal="right"/>
    </xf>
    <xf numFmtId="0" fontId="11" fillId="0" borderId="9" xfId="1" applyFont="1" applyBorder="1"/>
    <xf numFmtId="10" fontId="11" fillId="0" borderId="8" xfId="4" applyNumberFormat="1" applyFont="1" applyBorder="1"/>
    <xf numFmtId="10" fontId="11" fillId="0" borderId="29" xfId="4" applyNumberFormat="1" applyFont="1" applyBorder="1"/>
    <xf numFmtId="10" fontId="11" fillId="0" borderId="0" xfId="4" applyNumberFormat="1" applyFont="1" applyBorder="1"/>
    <xf numFmtId="10" fontId="11" fillId="0" borderId="27" xfId="4" applyNumberFormat="1" applyFont="1" applyBorder="1"/>
    <xf numFmtId="0" fontId="11" fillId="0" borderId="30" xfId="1" applyFont="1" applyBorder="1"/>
    <xf numFmtId="10" fontId="15" fillId="0" borderId="32" xfId="4" applyNumberFormat="1" applyFont="1" applyFill="1" applyBorder="1"/>
    <xf numFmtId="0" fontId="15" fillId="0" borderId="0" xfId="1" applyFont="1"/>
    <xf numFmtId="0" fontId="17" fillId="0" borderId="0" xfId="1" applyFont="1"/>
    <xf numFmtId="0" fontId="15" fillId="0" borderId="3" xfId="1" applyFont="1" applyBorder="1"/>
    <xf numFmtId="0" fontId="15" fillId="0" borderId="4" xfId="1" applyFont="1" applyBorder="1"/>
    <xf numFmtId="0" fontId="11" fillId="0" borderId="5" xfId="1" applyFont="1" applyBorder="1"/>
    <xf numFmtId="0" fontId="15" fillId="0" borderId="34" xfId="1" applyFont="1" applyBorder="1" applyAlignment="1">
      <alignment horizontal="right"/>
    </xf>
    <xf numFmtId="0" fontId="15" fillId="0" borderId="35" xfId="1" applyFont="1" applyBorder="1" applyAlignment="1">
      <alignment horizontal="right"/>
    </xf>
    <xf numFmtId="0" fontId="15" fillId="0" borderId="36" xfId="1" applyFont="1" applyBorder="1" applyAlignment="1">
      <alignment horizontal="right"/>
    </xf>
    <xf numFmtId="10" fontId="11" fillId="0" borderId="8" xfId="4" applyNumberFormat="1" applyFont="1" applyBorder="1" applyAlignment="1">
      <alignment horizontal="right"/>
    </xf>
    <xf numFmtId="43" fontId="11" fillId="0" borderId="0" xfId="1" applyNumberFormat="1" applyFont="1"/>
    <xf numFmtId="0" fontId="11" fillId="3" borderId="9" xfId="1" applyFont="1" applyFill="1" applyBorder="1"/>
    <xf numFmtId="0" fontId="11" fillId="3" borderId="0" xfId="1" applyFont="1" applyFill="1" applyBorder="1"/>
    <xf numFmtId="166" fontId="11" fillId="0" borderId="0" xfId="1" applyNumberFormat="1" applyFont="1"/>
    <xf numFmtId="0" fontId="11" fillId="0" borderId="29" xfId="1" applyFont="1" applyBorder="1"/>
    <xf numFmtId="168" fontId="11" fillId="0" borderId="0" xfId="1" applyNumberFormat="1" applyFont="1"/>
    <xf numFmtId="169" fontId="11" fillId="0" borderId="0" xfId="1" applyNumberFormat="1" applyFont="1"/>
    <xf numFmtId="0" fontId="15" fillId="0" borderId="3" xfId="1" applyFont="1" applyFill="1" applyBorder="1"/>
    <xf numFmtId="0" fontId="15" fillId="0" borderId="4" xfId="1" applyFont="1" applyFill="1" applyBorder="1"/>
    <xf numFmtId="0" fontId="11" fillId="0" borderId="37" xfId="1" applyFont="1" applyBorder="1"/>
    <xf numFmtId="6" fontId="11" fillId="3" borderId="0" xfId="4" applyNumberFormat="1" applyFont="1" applyFill="1" applyBorder="1"/>
    <xf numFmtId="0" fontId="11" fillId="0" borderId="0" xfId="1" applyFont="1" applyFill="1"/>
    <xf numFmtId="6" fontId="11" fillId="0" borderId="0" xfId="1" applyNumberFormat="1" applyFont="1" applyBorder="1"/>
    <xf numFmtId="10" fontId="11" fillId="0" borderId="30" xfId="4" applyNumberFormat="1" applyFont="1" applyBorder="1"/>
    <xf numFmtId="0" fontId="15" fillId="0" borderId="5" xfId="1" applyFont="1" applyBorder="1" applyAlignment="1">
      <alignment horizontal="right"/>
    </xf>
    <xf numFmtId="6" fontId="11" fillId="3" borderId="8" xfId="4" applyNumberFormat="1" applyFont="1" applyFill="1" applyBorder="1"/>
    <xf numFmtId="6" fontId="11" fillId="0" borderId="27" xfId="1" applyNumberFormat="1" applyFont="1" applyBorder="1"/>
    <xf numFmtId="6" fontId="11" fillId="0" borderId="8" xfId="1" applyNumberFormat="1" applyFont="1" applyBorder="1"/>
    <xf numFmtId="6" fontId="15" fillId="0" borderId="32" xfId="4" applyNumberFormat="1" applyFont="1" applyFill="1" applyBorder="1"/>
    <xf numFmtId="0" fontId="15" fillId="0" borderId="0" xfId="1" applyFont="1" applyAlignment="1">
      <alignment horizontal="right"/>
    </xf>
    <xf numFmtId="0" fontId="11" fillId="0" borderId="0" xfId="0" applyFont="1"/>
    <xf numFmtId="0" fontId="3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11" fillId="5" borderId="0" xfId="1" applyFont="1" applyFill="1"/>
    <xf numFmtId="3" fontId="3" fillId="6" borderId="0" xfId="0" applyNumberFormat="1" applyFont="1" applyFill="1"/>
    <xf numFmtId="0" fontId="15" fillId="6" borderId="0" xfId="0" applyFont="1" applyFill="1"/>
    <xf numFmtId="3" fontId="0" fillId="0" borderId="38" xfId="0" applyNumberFormat="1" applyFont="1" applyFill="1" applyBorder="1"/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0" fillId="0" borderId="38" xfId="0" applyFont="1" applyFill="1" applyBorder="1"/>
    <xf numFmtId="0" fontId="11" fillId="0" borderId="40" xfId="0" applyFont="1" applyFill="1" applyBorder="1" applyAlignment="1">
      <alignment horizontal="center"/>
    </xf>
    <xf numFmtId="0" fontId="15" fillId="0" borderId="41" xfId="1" applyFont="1" applyFill="1" applyBorder="1" applyAlignment="1">
      <alignment horizontal="center" wrapText="1"/>
    </xf>
    <xf numFmtId="0" fontId="11" fillId="5" borderId="0" xfId="1" applyFont="1" applyFill="1" applyBorder="1"/>
    <xf numFmtId="0" fontId="15" fillId="3" borderId="41" xfId="1" applyFont="1" applyFill="1" applyBorder="1" applyAlignment="1">
      <alignment horizontal="center" wrapText="1"/>
    </xf>
    <xf numFmtId="0" fontId="17" fillId="3" borderId="41" xfId="1" applyFont="1" applyFill="1" applyBorder="1" applyAlignment="1">
      <alignment horizontal="center" wrapText="1"/>
    </xf>
    <xf numFmtId="0" fontId="11" fillId="0" borderId="42" xfId="1" applyFont="1" applyFill="1" applyBorder="1"/>
    <xf numFmtId="0" fontId="11" fillId="0" borderId="43" xfId="1" applyFont="1" applyFill="1" applyBorder="1"/>
    <xf numFmtId="0" fontId="11" fillId="0" borderId="42" xfId="1" applyFont="1" applyFill="1" applyBorder="1" applyAlignment="1">
      <alignment horizontal="center" wrapText="1"/>
    </xf>
    <xf numFmtId="0" fontId="11" fillId="3" borderId="44" xfId="1" applyFont="1" applyFill="1" applyBorder="1"/>
    <xf numFmtId="0" fontId="11" fillId="2" borderId="37" xfId="1" applyFont="1" applyFill="1" applyBorder="1"/>
    <xf numFmtId="172" fontId="3" fillId="2" borderId="45" xfId="6" applyNumberFormat="1" applyFont="1" applyFill="1" applyBorder="1"/>
    <xf numFmtId="173" fontId="11" fillId="2" borderId="37" xfId="6" applyNumberFormat="1" applyFont="1" applyFill="1" applyBorder="1"/>
    <xf numFmtId="173" fontId="3" fillId="3" borderId="37" xfId="6" applyNumberFormat="1" applyFont="1" applyFill="1" applyBorder="1"/>
    <xf numFmtId="173" fontId="3" fillId="3" borderId="45" xfId="6" applyNumberFormat="1" applyFont="1" applyFill="1" applyBorder="1"/>
    <xf numFmtId="0" fontId="11" fillId="3" borderId="37" xfId="1" applyFont="1" applyFill="1" applyBorder="1" applyAlignment="1">
      <alignment horizontal="center"/>
    </xf>
    <xf numFmtId="43" fontId="16" fillId="2" borderId="37" xfId="6" applyNumberFormat="1" applyFont="1" applyFill="1" applyBorder="1"/>
    <xf numFmtId="173" fontId="16" fillId="2" borderId="37" xfId="6" applyNumberFormat="1" applyFont="1" applyFill="1" applyBorder="1"/>
    <xf numFmtId="10" fontId="11" fillId="3" borderId="37" xfId="4" applyNumberFormat="1" applyFont="1" applyFill="1" applyBorder="1" applyAlignment="1">
      <alignment horizontal="center"/>
    </xf>
    <xf numFmtId="0" fontId="17" fillId="3" borderId="37" xfId="1" applyFont="1" applyFill="1" applyBorder="1" applyAlignment="1">
      <alignment horizontal="center"/>
    </xf>
    <xf numFmtId="172" fontId="3" fillId="2" borderId="37" xfId="6" applyNumberFormat="1" applyFont="1" applyFill="1" applyBorder="1"/>
    <xf numFmtId="173" fontId="3" fillId="2" borderId="37" xfId="6" applyNumberFormat="1" applyFont="1" applyFill="1" applyBorder="1"/>
    <xf numFmtId="0" fontId="11" fillId="2" borderId="46" xfId="1" applyFont="1" applyFill="1" applyBorder="1"/>
    <xf numFmtId="172" fontId="3" fillId="2" borderId="46" xfId="6" applyNumberFormat="1" applyFont="1" applyFill="1" applyBorder="1"/>
    <xf numFmtId="173" fontId="3" fillId="2" borderId="46" xfId="6" applyNumberFormat="1" applyFont="1" applyFill="1" applyBorder="1"/>
    <xf numFmtId="173" fontId="3" fillId="3" borderId="46" xfId="6" applyNumberFormat="1" applyFont="1" applyFill="1" applyBorder="1"/>
    <xf numFmtId="10" fontId="11" fillId="3" borderId="46" xfId="4" applyNumberFormat="1" applyFont="1" applyFill="1" applyBorder="1" applyAlignment="1">
      <alignment horizontal="center"/>
    </xf>
    <xf numFmtId="0" fontId="17" fillId="3" borderId="46" xfId="1" applyFont="1" applyFill="1" applyBorder="1" applyAlignment="1">
      <alignment horizontal="center"/>
    </xf>
    <xf numFmtId="173" fontId="11" fillId="3" borderId="47" xfId="1" applyNumberFormat="1" applyFont="1" applyFill="1" applyBorder="1"/>
    <xf numFmtId="0" fontId="22" fillId="0" borderId="0" xfId="0" applyFont="1" applyProtection="1">
      <protection locked="0"/>
    </xf>
    <xf numFmtId="0" fontId="23" fillId="7" borderId="0" xfId="5" applyNumberFormat="1" applyFont="1" applyFill="1" applyAlignment="1" applyProtection="1">
      <alignment horizontal="left"/>
      <protection locked="0"/>
    </xf>
    <xf numFmtId="2" fontId="23" fillId="8" borderId="0" xfId="5" applyNumberFormat="1" applyFont="1" applyFill="1" applyAlignment="1" applyProtection="1">
      <alignment horizontal="left"/>
    </xf>
    <xf numFmtId="0" fontId="23" fillId="8" borderId="0" xfId="5" applyNumberFormat="1" applyFont="1" applyFill="1" applyAlignment="1" applyProtection="1">
      <alignment horizontal="right"/>
      <protection locked="0"/>
    </xf>
    <xf numFmtId="0" fontId="23" fillId="0" borderId="0" xfId="5" applyNumberFormat="1" applyFont="1" applyFill="1" applyAlignment="1" applyProtection="1">
      <alignment horizontal="right"/>
      <protection locked="0"/>
    </xf>
    <xf numFmtId="0" fontId="24" fillId="0" borderId="0" xfId="0" applyFont="1" applyProtection="1">
      <protection locked="0"/>
    </xf>
    <xf numFmtId="0" fontId="24" fillId="0" borderId="0" xfId="0" applyFont="1" applyFill="1" applyProtection="1">
      <protection locked="0"/>
    </xf>
    <xf numFmtId="2" fontId="23" fillId="0" borderId="0" xfId="5" applyNumberFormat="1" applyFont="1" applyAlignment="1" applyProtection="1">
      <alignment horizontal="left"/>
    </xf>
    <xf numFmtId="0" fontId="22" fillId="0" borderId="0" xfId="0" applyFont="1" applyProtection="1"/>
    <xf numFmtId="174" fontId="22" fillId="0" borderId="0" xfId="0" applyNumberFormat="1" applyFont="1" applyAlignment="1" applyProtection="1">
      <alignment horizontal="center"/>
    </xf>
    <xf numFmtId="0" fontId="22" fillId="0" borderId="0" xfId="0" applyFont="1" applyFill="1" applyBorder="1" applyProtection="1">
      <protection locked="0"/>
    </xf>
    <xf numFmtId="0" fontId="22" fillId="0" borderId="0" xfId="0" applyFont="1" applyBorder="1" applyProtection="1">
      <protection locked="0"/>
    </xf>
    <xf numFmtId="175" fontId="22" fillId="0" borderId="0" xfId="0" applyNumberFormat="1" applyFont="1" applyBorder="1" applyProtection="1">
      <protection locked="0"/>
    </xf>
    <xf numFmtId="0" fontId="22" fillId="0" borderId="0" xfId="0" applyFont="1" applyFill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174" fontId="23" fillId="0" borderId="0" xfId="0" applyNumberFormat="1" applyFont="1" applyBorder="1" applyAlignment="1" applyProtection="1">
      <alignment horizontal="center" vertical="center"/>
    </xf>
    <xf numFmtId="0" fontId="24" fillId="0" borderId="0" xfId="0" applyFont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2" fillId="0" borderId="48" xfId="0" applyFont="1" applyFill="1" applyBorder="1" applyAlignment="1" applyProtection="1">
      <alignment vertical="center"/>
    </xf>
    <xf numFmtId="0" fontId="24" fillId="0" borderId="49" xfId="0" applyFont="1" applyFill="1" applyBorder="1" applyAlignment="1" applyProtection="1">
      <alignment vertical="center"/>
    </xf>
    <xf numFmtId="3" fontId="23" fillId="0" borderId="10" xfId="0" applyNumberFormat="1" applyFont="1" applyFill="1" applyBorder="1" applyAlignment="1" applyProtection="1">
      <alignment horizontal="right" vertical="center"/>
    </xf>
    <xf numFmtId="0" fontId="11" fillId="0" borderId="11" xfId="7" applyFont="1" applyFill="1" applyBorder="1" applyAlignment="1">
      <alignment horizontal="center"/>
    </xf>
    <xf numFmtId="10" fontId="22" fillId="0" borderId="7" xfId="0" applyNumberFormat="1" applyFont="1" applyBorder="1" applyAlignment="1" applyProtection="1">
      <alignment horizontal="center"/>
      <protection locked="0"/>
    </xf>
    <xf numFmtId="0" fontId="22" fillId="0" borderId="11" xfId="0" applyFont="1" applyFill="1" applyBorder="1" applyAlignment="1" applyProtection="1">
      <alignment vertical="center"/>
    </xf>
    <xf numFmtId="0" fontId="24" fillId="0" borderId="12" xfId="0" applyFont="1" applyFill="1" applyBorder="1" applyAlignment="1" applyProtection="1">
      <alignment vertical="center"/>
    </xf>
    <xf numFmtId="3" fontId="23" fillId="0" borderId="7" xfId="0" applyNumberFormat="1" applyFont="1" applyFill="1" applyBorder="1" applyAlignment="1" applyProtection="1">
      <alignment horizontal="right" vertical="center"/>
    </xf>
    <xf numFmtId="3" fontId="22" fillId="0" borderId="0" xfId="8" applyFont="1" applyFill="1" applyBorder="1" applyProtection="1">
      <alignment horizontal="right"/>
      <protection locked="0"/>
    </xf>
    <xf numFmtId="0" fontId="11" fillId="0" borderId="14" xfId="7" applyFont="1" applyFill="1" applyBorder="1" applyAlignment="1">
      <alignment horizontal="center"/>
    </xf>
    <xf numFmtId="10" fontId="22" fillId="0" borderId="27" xfId="3" applyNumberFormat="1" applyFont="1" applyFill="1" applyBorder="1" applyAlignment="1" applyProtection="1">
      <alignment horizontal="center"/>
      <protection locked="0"/>
    </xf>
    <xf numFmtId="0" fontId="24" fillId="0" borderId="48" xfId="0" applyFont="1" applyBorder="1" applyProtection="1"/>
    <xf numFmtId="0" fontId="24" fillId="0" borderId="50" xfId="0" applyFont="1" applyFill="1" applyBorder="1" applyAlignment="1" applyProtection="1">
      <alignment vertical="center"/>
    </xf>
    <xf numFmtId="0" fontId="25" fillId="4" borderId="49" xfId="0" applyFont="1" applyFill="1" applyBorder="1" applyAlignment="1" applyProtection="1">
      <alignment horizontal="right" vertical="center"/>
    </xf>
    <xf numFmtId="175" fontId="22" fillId="0" borderId="0" xfId="8" applyNumberFormat="1" applyFont="1" applyFill="1" applyBorder="1" applyProtection="1">
      <alignment horizontal="right"/>
      <protection locked="0"/>
    </xf>
    <xf numFmtId="0" fontId="26" fillId="0" borderId="0" xfId="0" applyFont="1" applyFill="1" applyProtection="1">
      <protection locked="0"/>
    </xf>
    <xf numFmtId="3" fontId="27" fillId="0" borderId="0" xfId="8" applyFont="1" applyFill="1" applyBorder="1" applyAlignment="1" applyProtection="1">
      <alignment horizontal="left"/>
      <protection locked="0"/>
    </xf>
    <xf numFmtId="10" fontId="22" fillId="0" borderId="13" xfId="3" applyNumberFormat="1" applyFont="1" applyFill="1" applyBorder="1" applyAlignment="1" applyProtection="1">
      <alignment horizontal="center"/>
      <protection locked="0"/>
    </xf>
    <xf numFmtId="0" fontId="22" fillId="0" borderId="48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3" fontId="23" fillId="0" borderId="10" xfId="3" applyNumberFormat="1" applyFont="1" applyFill="1" applyBorder="1" applyAlignment="1" applyProtection="1">
      <alignment horizontal="right" vertical="center"/>
    </xf>
    <xf numFmtId="0" fontId="24" fillId="0" borderId="14" xfId="0" applyFont="1" applyBorder="1" applyProtection="1">
      <protection locked="0"/>
    </xf>
    <xf numFmtId="0" fontId="24" fillId="0" borderId="15" xfId="0" applyFont="1" applyBorder="1" applyAlignment="1" applyProtection="1">
      <alignment horizontal="center"/>
      <protection locked="0"/>
    </xf>
    <xf numFmtId="3" fontId="22" fillId="0" borderId="10" xfId="3" applyNumberFormat="1" applyFont="1" applyFill="1" applyBorder="1" applyAlignment="1" applyProtection="1">
      <alignment horizontal="right" vertical="center"/>
    </xf>
    <xf numFmtId="3" fontId="23" fillId="0" borderId="0" xfId="3" applyNumberFormat="1" applyFont="1" applyFill="1" applyBorder="1" applyAlignment="1" applyProtection="1">
      <alignment horizontal="right" vertical="center"/>
    </xf>
    <xf numFmtId="10" fontId="22" fillId="0" borderId="10" xfId="3" applyNumberFormat="1" applyFont="1" applyFill="1" applyBorder="1" applyAlignment="1" applyProtection="1">
      <alignment horizontal="center"/>
      <protection locked="0"/>
    </xf>
    <xf numFmtId="0" fontId="22" fillId="4" borderId="48" xfId="0" applyFont="1" applyFill="1" applyBorder="1" applyAlignment="1" applyProtection="1">
      <alignment vertical="center"/>
    </xf>
    <xf numFmtId="0" fontId="22" fillId="4" borderId="49" xfId="0" applyFont="1" applyFill="1" applyBorder="1" applyAlignment="1" applyProtection="1">
      <alignment vertical="center"/>
    </xf>
    <xf numFmtId="0" fontId="24" fillId="0" borderId="10" xfId="0" applyFont="1" applyBorder="1" applyProtection="1">
      <protection locked="0"/>
    </xf>
    <xf numFmtId="3" fontId="22" fillId="0" borderId="17" xfId="8" applyFont="1" applyFill="1" applyBorder="1" applyProtection="1">
      <alignment horizontal="right"/>
      <protection locked="0"/>
    </xf>
    <xf numFmtId="3" fontId="22" fillId="0" borderId="18" xfId="8" applyFont="1" applyFill="1" applyBorder="1" applyProtection="1">
      <alignment horizontal="right"/>
      <protection locked="0"/>
    </xf>
    <xf numFmtId="0" fontId="22" fillId="0" borderId="2" xfId="0" applyFont="1" applyFill="1" applyBorder="1" applyAlignment="1" applyProtection="1">
      <alignment vertical="center"/>
    </xf>
    <xf numFmtId="0" fontId="23" fillId="0" borderId="49" xfId="0" applyFont="1" applyBorder="1" applyAlignment="1" applyProtection="1">
      <alignment vertical="center"/>
    </xf>
    <xf numFmtId="0" fontId="23" fillId="0" borderId="2" xfId="0" applyFont="1" applyBorder="1" applyAlignment="1" applyProtection="1">
      <alignment vertical="center"/>
    </xf>
    <xf numFmtId="10" fontId="28" fillId="0" borderId="2" xfId="5" applyNumberFormat="1" applyFont="1" applyFill="1" applyBorder="1" applyAlignment="1" applyProtection="1">
      <alignment horizontal="center" vertical="center"/>
    </xf>
    <xf numFmtId="10" fontId="22" fillId="0" borderId="10" xfId="3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Alignment="1" applyProtection="1">
      <alignment vertical="center"/>
    </xf>
    <xf numFmtId="175" fontId="23" fillId="0" borderId="0" xfId="3" applyNumberFormat="1" applyFont="1" applyFill="1" applyBorder="1" applyAlignment="1" applyProtection="1">
      <alignment horizontal="right" vertical="center"/>
      <protection hidden="1"/>
    </xf>
    <xf numFmtId="0" fontId="24" fillId="0" borderId="0" xfId="0" applyFont="1" applyBorder="1" applyProtection="1"/>
    <xf numFmtId="0" fontId="24" fillId="0" borderId="0" xfId="0" applyFont="1" applyProtection="1"/>
    <xf numFmtId="174" fontId="24" fillId="0" borderId="0" xfId="0" applyNumberFormat="1" applyFont="1" applyAlignment="1" applyProtection="1">
      <alignment horizontal="center"/>
    </xf>
    <xf numFmtId="175" fontId="24" fillId="0" borderId="0" xfId="0" applyNumberFormat="1" applyFont="1" applyProtection="1">
      <protection locked="0"/>
    </xf>
    <xf numFmtId="0" fontId="29" fillId="0" borderId="0" xfId="0" applyFont="1" applyBorder="1" applyProtection="1"/>
    <xf numFmtId="0" fontId="24" fillId="0" borderId="11" xfId="0" applyFont="1" applyFill="1" applyBorder="1" applyProtection="1"/>
    <xf numFmtId="0" fontId="24" fillId="0" borderId="12" xfId="0" applyFont="1" applyBorder="1" applyProtection="1"/>
    <xf numFmtId="0" fontId="23" fillId="0" borderId="7" xfId="9" applyFont="1" applyFill="1" applyBorder="1" applyAlignment="1" applyProtection="1">
      <alignment horizontal="right"/>
    </xf>
    <xf numFmtId="0" fontId="24" fillId="0" borderId="14" xfId="0" applyFont="1" applyFill="1" applyBorder="1" applyProtection="1"/>
    <xf numFmtId="0" fontId="24" fillId="0" borderId="15" xfId="0" applyFont="1" applyBorder="1" applyProtection="1"/>
    <xf numFmtId="1" fontId="23" fillId="0" borderId="27" xfId="9" applyNumberFormat="1" applyFont="1" applyFill="1" applyBorder="1" applyAlignment="1" applyProtection="1">
      <alignment horizontal="right"/>
    </xf>
    <xf numFmtId="1" fontId="23" fillId="0" borderId="13" xfId="9" applyNumberFormat="1" applyFont="1" applyFill="1" applyBorder="1" applyAlignment="1" applyProtection="1">
      <alignment horizontal="right"/>
    </xf>
    <xf numFmtId="174" fontId="30" fillId="0" borderId="27" xfId="0" applyNumberFormat="1" applyFont="1" applyBorder="1" applyAlignment="1" applyProtection="1">
      <alignment horizontal="center"/>
    </xf>
    <xf numFmtId="174" fontId="24" fillId="0" borderId="27" xfId="0" applyNumberFormat="1" applyFont="1" applyBorder="1" applyAlignment="1" applyProtection="1">
      <alignment horizontal="center"/>
    </xf>
    <xf numFmtId="0" fontId="24" fillId="0" borderId="27" xfId="0" applyFont="1" applyBorder="1" applyProtection="1">
      <protection locked="0"/>
    </xf>
    <xf numFmtId="0" fontId="23" fillId="0" borderId="14" xfId="0" applyFont="1" applyFill="1" applyBorder="1" applyAlignment="1" applyProtection="1"/>
    <xf numFmtId="3" fontId="23" fillId="2" borderId="10" xfId="3" applyNumberFormat="1" applyFont="1" applyFill="1" applyBorder="1" applyAlignment="1" applyProtection="1">
      <alignment horizontal="right" vertical="center"/>
    </xf>
    <xf numFmtId="3" fontId="31" fillId="0" borderId="10" xfId="0" applyNumberFormat="1" applyFont="1" applyBorder="1" applyProtection="1">
      <protection locked="0"/>
    </xf>
    <xf numFmtId="0" fontId="22" fillId="0" borderId="14" xfId="0" applyFont="1" applyFill="1" applyBorder="1" applyAlignment="1" applyProtection="1">
      <alignment wrapText="1"/>
    </xf>
    <xf numFmtId="3" fontId="24" fillId="0" borderId="27" xfId="0" applyNumberFormat="1" applyFont="1" applyBorder="1" applyProtection="1">
      <protection locked="0"/>
    </xf>
    <xf numFmtId="0" fontId="23" fillId="0" borderId="14" xfId="0" applyFont="1" applyFill="1" applyBorder="1" applyProtection="1"/>
    <xf numFmtId="49" fontId="22" fillId="0" borderId="14" xfId="0" applyNumberFormat="1" applyFont="1" applyFill="1" applyBorder="1" applyAlignment="1" applyProtection="1">
      <alignment horizontal="left" indent="1"/>
    </xf>
    <xf numFmtId="3" fontId="22" fillId="9" borderId="7" xfId="0" applyNumberFormat="1" applyFont="1" applyFill="1" applyBorder="1" applyAlignment="1" applyProtection="1">
      <alignment horizontal="right" vertical="center"/>
    </xf>
    <xf numFmtId="3" fontId="22" fillId="9" borderId="7" xfId="3" applyNumberFormat="1" applyFont="1" applyFill="1" applyBorder="1" applyAlignment="1" applyProtection="1">
      <alignment horizontal="right" vertical="center"/>
    </xf>
    <xf numFmtId="3" fontId="24" fillId="0" borderId="7" xfId="0" applyNumberFormat="1" applyFont="1" applyBorder="1" applyProtection="1">
      <protection locked="0"/>
    </xf>
    <xf numFmtId="3" fontId="22" fillId="9" borderId="27" xfId="0" applyNumberFormat="1" applyFont="1" applyFill="1" applyBorder="1" applyAlignment="1" applyProtection="1">
      <alignment horizontal="right" vertical="center"/>
    </xf>
    <xf numFmtId="3" fontId="22" fillId="9" borderId="27" xfId="3" applyNumberFormat="1" applyFont="1" applyFill="1" applyBorder="1" applyAlignment="1" applyProtection="1">
      <alignment horizontal="right" vertical="center"/>
    </xf>
    <xf numFmtId="3" fontId="22" fillId="9" borderId="13" xfId="3" applyNumberFormat="1" applyFont="1" applyFill="1" applyBorder="1" applyAlignment="1" applyProtection="1">
      <alignment horizontal="right" vertical="center"/>
    </xf>
    <xf numFmtId="0" fontId="24" fillId="0" borderId="13" xfId="0" applyFont="1" applyBorder="1" applyProtection="1">
      <protection locked="0"/>
    </xf>
    <xf numFmtId="3" fontId="22" fillId="0" borderId="27" xfId="3" applyNumberFormat="1" applyFont="1" applyFill="1" applyBorder="1" applyAlignment="1" applyProtection="1">
      <alignment horizontal="right" vertical="center"/>
    </xf>
    <xf numFmtId="3" fontId="32" fillId="0" borderId="27" xfId="0" applyNumberFormat="1" applyFont="1" applyBorder="1" applyProtection="1">
      <protection locked="0"/>
    </xf>
    <xf numFmtId="0" fontId="22" fillId="0" borderId="14" xfId="0" applyFont="1" applyFill="1" applyBorder="1" applyProtection="1"/>
    <xf numFmtId="0" fontId="23" fillId="0" borderId="17" xfId="0" applyFont="1" applyFill="1" applyBorder="1" applyProtection="1"/>
    <xf numFmtId="0" fontId="24" fillId="0" borderId="18" xfId="0" applyFont="1" applyBorder="1" applyProtection="1"/>
    <xf numFmtId="0" fontId="22" fillId="0" borderId="0" xfId="0" applyFont="1" applyBorder="1" applyProtection="1"/>
    <xf numFmtId="0" fontId="23" fillId="0" borderId="11" xfId="0" applyFont="1" applyFill="1" applyBorder="1" applyProtection="1"/>
    <xf numFmtId="0" fontId="22" fillId="0" borderId="11" xfId="0" applyFont="1" applyFill="1" applyBorder="1" applyProtection="1"/>
    <xf numFmtId="10" fontId="24" fillId="0" borderId="27" xfId="3" applyNumberFormat="1" applyFont="1" applyBorder="1" applyAlignment="1" applyProtection="1">
      <alignment horizontal="right"/>
    </xf>
    <xf numFmtId="0" fontId="24" fillId="0" borderId="7" xfId="0" applyFont="1" applyBorder="1" applyProtection="1">
      <protection locked="0"/>
    </xf>
    <xf numFmtId="10" fontId="24" fillId="0" borderId="0" xfId="3" applyNumberFormat="1" applyFont="1" applyProtection="1">
      <protection locked="0"/>
    </xf>
    <xf numFmtId="10" fontId="24" fillId="0" borderId="27" xfId="3" applyNumberFormat="1" applyFont="1" applyBorder="1" applyProtection="1">
      <protection locked="0"/>
    </xf>
    <xf numFmtId="3" fontId="22" fillId="0" borderId="27" xfId="0" applyNumberFormat="1" applyFont="1" applyFill="1" applyBorder="1" applyAlignment="1" applyProtection="1">
      <alignment horizontal="right" vertical="center"/>
    </xf>
    <xf numFmtId="0" fontId="22" fillId="0" borderId="27" xfId="0" applyFont="1" applyFill="1" applyBorder="1" applyProtection="1"/>
    <xf numFmtId="167" fontId="33" fillId="0" borderId="0" xfId="3" applyNumberFormat="1" applyFont="1" applyAlignment="1" applyProtection="1">
      <alignment horizontal="center"/>
      <protection locked="0"/>
    </xf>
    <xf numFmtId="0" fontId="22" fillId="0" borderId="0" xfId="0" applyFont="1" applyFill="1" applyBorder="1" applyProtection="1"/>
    <xf numFmtId="0" fontId="24" fillId="0" borderId="0" xfId="0" applyFont="1" applyFill="1" applyProtection="1"/>
    <xf numFmtId="174" fontId="24" fillId="0" borderId="0" xfId="0" applyNumberFormat="1" applyFont="1" applyFill="1" applyAlignment="1" applyProtection="1">
      <alignment horizontal="center"/>
    </xf>
    <xf numFmtId="175" fontId="24" fillId="0" borderId="0" xfId="0" applyNumberFormat="1" applyFont="1" applyFill="1" applyProtection="1">
      <protection locked="0"/>
    </xf>
    <xf numFmtId="0" fontId="11" fillId="0" borderId="9" xfId="1" applyFont="1" applyFill="1" applyBorder="1"/>
    <xf numFmtId="172" fontId="3" fillId="0" borderId="45" xfId="6" applyNumberFormat="1" applyFont="1" applyFill="1" applyBorder="1"/>
    <xf numFmtId="43" fontId="3" fillId="0" borderId="37" xfId="6" applyNumberFormat="1" applyFont="1" applyFill="1" applyBorder="1"/>
    <xf numFmtId="173" fontId="11" fillId="0" borderId="0" xfId="1" applyNumberFormat="1" applyFont="1" applyFill="1"/>
    <xf numFmtId="172" fontId="3" fillId="0" borderId="37" xfId="6" applyNumberFormat="1" applyFont="1" applyFill="1" applyBorder="1"/>
    <xf numFmtId="0" fontId="11" fillId="0" borderId="19" xfId="1" applyFont="1" applyFill="1" applyBorder="1"/>
    <xf numFmtId="172" fontId="3" fillId="0" borderId="46" xfId="6" applyNumberFormat="1" applyFont="1" applyFill="1" applyBorder="1"/>
    <xf numFmtId="0" fontId="11" fillId="6" borderId="0" xfId="1" applyFont="1" applyFill="1"/>
    <xf numFmtId="0" fontId="15" fillId="6" borderId="0" xfId="2" applyFont="1" applyFill="1"/>
    <xf numFmtId="0" fontId="34" fillId="5" borderId="0" xfId="0" applyFont="1" applyFill="1"/>
    <xf numFmtId="0" fontId="0" fillId="5" borderId="0" xfId="0" applyFill="1"/>
    <xf numFmtId="0" fontId="0" fillId="0" borderId="38" xfId="0" applyFill="1" applyBorder="1"/>
    <xf numFmtId="10" fontId="0" fillId="0" borderId="40" xfId="0" applyNumberFormat="1" applyFill="1" applyBorder="1"/>
    <xf numFmtId="0" fontId="0" fillId="0" borderId="39" xfId="0" applyFill="1" applyBorder="1"/>
    <xf numFmtId="0" fontId="35" fillId="0" borderId="3" xfId="0" applyFont="1" applyFill="1" applyBorder="1"/>
    <xf numFmtId="0" fontId="35" fillId="0" borderId="4" xfId="0" applyFont="1" applyFill="1" applyBorder="1"/>
    <xf numFmtId="0" fontId="0" fillId="0" borderId="4" xfId="0" applyFill="1" applyBorder="1"/>
    <xf numFmtId="0" fontId="0" fillId="0" borderId="51" xfId="0" applyFill="1" applyBorder="1"/>
    <xf numFmtId="0" fontId="0" fillId="0" borderId="52" xfId="0" applyFill="1" applyBorder="1"/>
    <xf numFmtId="0" fontId="0" fillId="0" borderId="5" xfId="0" applyFill="1" applyBorder="1"/>
    <xf numFmtId="0" fontId="0" fillId="0" borderId="16" xfId="0" applyFill="1" applyBorder="1"/>
    <xf numFmtId="0" fontId="0" fillId="0" borderId="1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25" xfId="0" applyFill="1" applyBorder="1"/>
    <xf numFmtId="170" fontId="0" fillId="0" borderId="14" xfId="3" applyNumberFormat="1" applyFont="1" applyFill="1" applyBorder="1"/>
    <xf numFmtId="170" fontId="0" fillId="0" borderId="0" xfId="3" applyNumberFormat="1" applyFont="1" applyFill="1" applyBorder="1"/>
    <xf numFmtId="170" fontId="0" fillId="0" borderId="15" xfId="3" applyNumberFormat="1" applyFont="1" applyFill="1" applyBorder="1"/>
    <xf numFmtId="0" fontId="0" fillId="0" borderId="0" xfId="0" applyFill="1" applyBorder="1"/>
    <xf numFmtId="0" fontId="0" fillId="0" borderId="20" xfId="0" applyFill="1" applyBorder="1"/>
    <xf numFmtId="170" fontId="0" fillId="0" borderId="8" xfId="3" applyNumberFormat="1" applyFont="1" applyFill="1" applyBorder="1"/>
    <xf numFmtId="170" fontId="0" fillId="0" borderId="53" xfId="3" applyNumberFormat="1" applyFont="1" applyFill="1" applyBorder="1"/>
    <xf numFmtId="170" fontId="0" fillId="0" borderId="20" xfId="3" applyNumberFormat="1" applyFont="1" applyFill="1" applyBorder="1"/>
    <xf numFmtId="170" fontId="0" fillId="0" borderId="21" xfId="3" applyNumberFormat="1" applyFont="1" applyFill="1" applyBorder="1"/>
    <xf numFmtId="170" fontId="0" fillId="0" borderId="54" xfId="3" applyNumberFormat="1" applyFont="1" applyFill="1" applyBorder="1"/>
    <xf numFmtId="0" fontId="21" fillId="5" borderId="0" xfId="0" applyFont="1" applyFill="1"/>
    <xf numFmtId="0" fontId="0" fillId="0" borderId="9" xfId="0" applyFont="1" applyFill="1" applyBorder="1"/>
    <xf numFmtId="0" fontId="0" fillId="0" borderId="0" xfId="0" applyFont="1" applyFill="1" applyBorder="1"/>
    <xf numFmtId="44" fontId="0" fillId="0" borderId="0" xfId="10" applyFont="1" applyFill="1" applyBorder="1"/>
    <xf numFmtId="44" fontId="0" fillId="0" borderId="15" xfId="10" applyFont="1" applyFill="1" applyBorder="1"/>
    <xf numFmtId="44" fontId="0" fillId="2" borderId="14" xfId="10" applyFont="1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9" xfId="0" applyFill="1" applyBorder="1"/>
    <xf numFmtId="44" fontId="0" fillId="0" borderId="20" xfId="10" applyFont="1" applyFill="1" applyBorder="1"/>
    <xf numFmtId="44" fontId="0" fillId="0" borderId="54" xfId="10" applyFont="1" applyFill="1" applyBorder="1"/>
    <xf numFmtId="44" fontId="0" fillId="2" borderId="53" xfId="10" applyFont="1" applyFill="1" applyBorder="1"/>
    <xf numFmtId="0" fontId="0" fillId="0" borderId="21" xfId="0" applyFill="1" applyBorder="1"/>
    <xf numFmtId="0" fontId="0" fillId="10" borderId="0" xfId="0" applyFill="1"/>
    <xf numFmtId="0" fontId="0" fillId="10" borderId="0" xfId="0" quotePrefix="1" applyFill="1"/>
    <xf numFmtId="0" fontId="0" fillId="11" borderId="0" xfId="0" applyFill="1"/>
    <xf numFmtId="0" fontId="11" fillId="10" borderId="9" xfId="1" applyFont="1" applyFill="1" applyBorder="1"/>
    <xf numFmtId="0" fontId="11" fillId="10" borderId="19" xfId="1" applyFont="1" applyFill="1" applyBorder="1"/>
    <xf numFmtId="172" fontId="3" fillId="10" borderId="45" xfId="6" applyNumberFormat="1" applyFont="1" applyFill="1" applyBorder="1"/>
    <xf numFmtId="43" fontId="3" fillId="10" borderId="37" xfId="6" applyNumberFormat="1" applyFont="1" applyFill="1" applyBorder="1"/>
    <xf numFmtId="172" fontId="3" fillId="10" borderId="37" xfId="6" applyNumberFormat="1" applyFont="1" applyFill="1" applyBorder="1"/>
    <xf numFmtId="172" fontId="3" fillId="10" borderId="46" xfId="6" applyNumberFormat="1" applyFont="1" applyFill="1" applyBorder="1"/>
    <xf numFmtId="0" fontId="15" fillId="11" borderId="0" xfId="1" applyFont="1" applyFill="1"/>
    <xf numFmtId="0" fontId="11" fillId="11" borderId="0" xfId="1" applyFont="1" applyFill="1"/>
    <xf numFmtId="3" fontId="23" fillId="12" borderId="10" xfId="3" applyNumberFormat="1" applyFont="1" applyFill="1" applyBorder="1" applyAlignment="1" applyProtection="1">
      <alignment horizontal="right" vertical="center"/>
      <protection hidden="1"/>
    </xf>
    <xf numFmtId="3" fontId="22" fillId="10" borderId="27" xfId="0" applyNumberFormat="1" applyFont="1" applyFill="1" applyBorder="1" applyAlignment="1" applyProtection="1">
      <alignment horizontal="right" vertical="center"/>
    </xf>
    <xf numFmtId="3" fontId="23" fillId="10" borderId="10" xfId="3" applyNumberFormat="1" applyFont="1" applyFill="1" applyBorder="1" applyAlignment="1" applyProtection="1">
      <alignment horizontal="right" vertical="center"/>
    </xf>
    <xf numFmtId="0" fontId="15" fillId="11" borderId="0" xfId="0" applyFont="1" applyFill="1"/>
    <xf numFmtId="0" fontId="22" fillId="11" borderId="0" xfId="0" applyFont="1" applyFill="1" applyProtection="1"/>
    <xf numFmtId="0" fontId="22" fillId="11" borderId="0" xfId="0" applyFont="1" applyFill="1" applyProtection="1">
      <protection locked="0"/>
    </xf>
    <xf numFmtId="174" fontId="22" fillId="11" borderId="0" xfId="0" applyNumberFormat="1" applyFont="1" applyFill="1" applyAlignment="1" applyProtection="1">
      <alignment horizontal="center"/>
    </xf>
    <xf numFmtId="175" fontId="22" fillId="11" borderId="0" xfId="0" applyNumberFormat="1" applyFont="1" applyFill="1" applyProtection="1">
      <protection locked="0"/>
    </xf>
    <xf numFmtId="0" fontId="0" fillId="10" borderId="9" xfId="0" applyFont="1" applyFill="1" applyBorder="1"/>
    <xf numFmtId="0" fontId="0" fillId="10" borderId="0" xfId="0" applyFont="1" applyFill="1" applyBorder="1"/>
    <xf numFmtId="0" fontId="0" fillId="10" borderId="0" xfId="0" applyFill="1" applyBorder="1"/>
    <xf numFmtId="0" fontId="0" fillId="10" borderId="9" xfId="0" applyFill="1" applyBorder="1"/>
    <xf numFmtId="0" fontId="0" fillId="10" borderId="19" xfId="0" applyFill="1" applyBorder="1"/>
    <xf numFmtId="0" fontId="0" fillId="10" borderId="20" xfId="0" applyFill="1" applyBorder="1"/>
    <xf numFmtId="0" fontId="0" fillId="10" borderId="14" xfId="0" applyFill="1" applyBorder="1"/>
    <xf numFmtId="0" fontId="0" fillId="10" borderId="8" xfId="0" applyFill="1" applyBorder="1"/>
    <xf numFmtId="0" fontId="0" fillId="10" borderId="53" xfId="0" applyFill="1" applyBorder="1"/>
    <xf numFmtId="0" fontId="0" fillId="10" borderId="21" xfId="0" applyFill="1" applyBorder="1"/>
    <xf numFmtId="170" fontId="0" fillId="10" borderId="14" xfId="3" applyNumberFormat="1" applyFont="1" applyFill="1" applyBorder="1"/>
    <xf numFmtId="170" fontId="0" fillId="10" borderId="0" xfId="3" applyNumberFormat="1" applyFont="1" applyFill="1" applyBorder="1"/>
    <xf numFmtId="170" fontId="0" fillId="10" borderId="15" xfId="3" applyNumberFormat="1" applyFont="1" applyFill="1" applyBorder="1"/>
    <xf numFmtId="170" fontId="0" fillId="10" borderId="53" xfId="3" applyNumberFormat="1" applyFont="1" applyFill="1" applyBorder="1"/>
    <xf numFmtId="170" fontId="0" fillId="10" borderId="20" xfId="3" applyNumberFormat="1" applyFont="1" applyFill="1" applyBorder="1"/>
    <xf numFmtId="170" fontId="0" fillId="10" borderId="54" xfId="3" applyNumberFormat="1" applyFont="1" applyFill="1" applyBorder="1"/>
    <xf numFmtId="170" fontId="0" fillId="10" borderId="39" xfId="3" applyNumberFormat="1" applyFont="1" applyFill="1" applyBorder="1"/>
    <xf numFmtId="170" fontId="0" fillId="10" borderId="40" xfId="3" applyNumberFormat="1" applyFont="1" applyFill="1" applyBorder="1"/>
    <xf numFmtId="44" fontId="0" fillId="10" borderId="14" xfId="10" applyFont="1" applyFill="1" applyBorder="1"/>
    <xf numFmtId="44" fontId="0" fillId="10" borderId="53" xfId="10" applyFont="1" applyFill="1" applyBorder="1"/>
    <xf numFmtId="0" fontId="35" fillId="11" borderId="0" xfId="0" applyFont="1" applyFill="1"/>
    <xf numFmtId="0" fontId="11" fillId="10" borderId="0" xfId="1" applyFont="1" applyFill="1"/>
    <xf numFmtId="0" fontId="14" fillId="10" borderId="0" xfId="1" applyFont="1" applyFill="1" applyAlignment="1">
      <alignment horizontal="center"/>
    </xf>
    <xf numFmtId="0" fontId="15" fillId="10" borderId="0" xfId="1" applyFont="1" applyFill="1"/>
    <xf numFmtId="164" fontId="11" fillId="10" borderId="7" xfId="2" applyNumberFormat="1" applyFont="1" applyFill="1" applyBorder="1"/>
    <xf numFmtId="164" fontId="11" fillId="10" borderId="10" xfId="2" applyNumberFormat="1" applyFont="1" applyFill="1" applyBorder="1"/>
    <xf numFmtId="164" fontId="11" fillId="10" borderId="13" xfId="2" applyNumberFormat="1" applyFont="1" applyFill="1" applyBorder="1"/>
    <xf numFmtId="10" fontId="11" fillId="10" borderId="29" xfId="4" applyNumberFormat="1" applyFont="1" applyFill="1" applyBorder="1"/>
    <xf numFmtId="10" fontId="11" fillId="10" borderId="0" xfId="4" applyNumberFormat="1" applyFont="1" applyFill="1" applyBorder="1"/>
    <xf numFmtId="10" fontId="11" fillId="10" borderId="27" xfId="4" applyNumberFormat="1" applyFont="1" applyFill="1" applyBorder="1"/>
    <xf numFmtId="10" fontId="11" fillId="10" borderId="27" xfId="3" applyNumberFormat="1" applyFont="1" applyFill="1" applyBorder="1"/>
    <xf numFmtId="10" fontId="11" fillId="10" borderId="30" xfId="3" applyNumberFormat="1" applyFont="1" applyFill="1" applyBorder="1"/>
    <xf numFmtId="6" fontId="11" fillId="10" borderId="29" xfId="1" applyNumberFormat="1" applyFont="1" applyFill="1" applyBorder="1"/>
    <xf numFmtId="10" fontId="11" fillId="10" borderId="30" xfId="4" applyNumberFormat="1" applyFont="1" applyFill="1" applyBorder="1"/>
    <xf numFmtId="6" fontId="11" fillId="10" borderId="29" xfId="4" applyNumberFormat="1" applyFont="1" applyFill="1" applyBorder="1"/>
    <xf numFmtId="6" fontId="11" fillId="10" borderId="27" xfId="4" applyNumberFormat="1" applyFont="1" applyFill="1" applyBorder="1"/>
    <xf numFmtId="6" fontId="11" fillId="10" borderId="30" xfId="4" applyNumberFormat="1" applyFont="1" applyFill="1" applyBorder="1"/>
    <xf numFmtId="6" fontId="15" fillId="12" borderId="31" xfId="4" applyNumberFormat="1" applyFont="1" applyFill="1" applyBorder="1"/>
    <xf numFmtId="6" fontId="15" fillId="12" borderId="32" xfId="4" applyNumberFormat="1" applyFont="1" applyFill="1" applyBorder="1"/>
    <xf numFmtId="6" fontId="15" fillId="12" borderId="33" xfId="4" applyNumberFormat="1" applyFont="1" applyFill="1" applyBorder="1"/>
    <xf numFmtId="6" fontId="15" fillId="12" borderId="20" xfId="4" applyNumberFormat="1" applyFont="1" applyFill="1" applyBorder="1"/>
    <xf numFmtId="0" fontId="15" fillId="12" borderId="19" xfId="1" applyFont="1" applyFill="1" applyBorder="1" applyAlignment="1">
      <alignment horizontal="left" wrapText="1"/>
    </xf>
    <xf numFmtId="0" fontId="15" fillId="12" borderId="20" xfId="1" applyFont="1" applyFill="1" applyBorder="1" applyAlignment="1">
      <alignment horizontal="left" wrapText="1"/>
    </xf>
    <xf numFmtId="6" fontId="15" fillId="12" borderId="21" xfId="4" applyNumberFormat="1" applyFont="1" applyFill="1" applyBorder="1"/>
    <xf numFmtId="10" fontId="15" fillId="12" borderId="32" xfId="4" applyNumberFormat="1" applyFont="1" applyFill="1" applyBorder="1"/>
    <xf numFmtId="10" fontId="15" fillId="12" borderId="33" xfId="4" applyNumberFormat="1" applyFont="1" applyFill="1" applyBorder="1"/>
    <xf numFmtId="10" fontId="15" fillId="12" borderId="21" xfId="4" applyNumberFormat="1" applyFont="1" applyFill="1" applyBorder="1" applyAlignment="1">
      <alignment horizontal="right"/>
    </xf>
    <xf numFmtId="10" fontId="15" fillId="12" borderId="31" xfId="4" applyNumberFormat="1" applyFont="1" applyFill="1" applyBorder="1"/>
    <xf numFmtId="10" fontId="15" fillId="12" borderId="20" xfId="4" applyNumberFormat="1" applyFont="1" applyFill="1" applyBorder="1"/>
    <xf numFmtId="0" fontId="15" fillId="12" borderId="9" xfId="1" applyFont="1" applyFill="1" applyBorder="1" applyAlignment="1">
      <alignment wrapText="1"/>
    </xf>
    <xf numFmtId="0" fontId="15" fillId="12" borderId="0" xfId="1" applyFont="1" applyFill="1" applyBorder="1" applyAlignment="1">
      <alignment wrapText="1"/>
    </xf>
    <xf numFmtId="10" fontId="15" fillId="12" borderId="8" xfId="4" applyNumberFormat="1" applyFont="1" applyFill="1" applyBorder="1"/>
    <xf numFmtId="0" fontId="15" fillId="12" borderId="9" xfId="1" applyFont="1" applyFill="1" applyBorder="1"/>
    <xf numFmtId="0" fontId="15" fillId="12" borderId="0" xfId="1" applyFont="1" applyFill="1" applyBorder="1"/>
    <xf numFmtId="10" fontId="15" fillId="12" borderId="8" xfId="3" applyNumberFormat="1" applyFont="1" applyFill="1" applyBorder="1" applyAlignment="1">
      <alignment horizontal="right"/>
    </xf>
    <xf numFmtId="0" fontId="15" fillId="12" borderId="19" xfId="1" applyFont="1" applyFill="1" applyBorder="1"/>
    <xf numFmtId="0" fontId="15" fillId="12" borderId="20" xfId="1" applyFont="1" applyFill="1" applyBorder="1"/>
    <xf numFmtId="10" fontId="15" fillId="12" borderId="21" xfId="3" applyNumberFormat="1" applyFont="1" applyFill="1" applyBorder="1" applyAlignment="1">
      <alignment horizontal="right"/>
    </xf>
    <xf numFmtId="0" fontId="36" fillId="0" borderId="0" xfId="0" applyFont="1"/>
    <xf numFmtId="0" fontId="15" fillId="5" borderId="0" xfId="0" applyFont="1" applyFill="1"/>
    <xf numFmtId="3" fontId="22" fillId="2" borderId="10" xfId="3" applyNumberFormat="1" applyFont="1" applyFill="1" applyBorder="1" applyAlignment="1" applyProtection="1">
      <alignment horizontal="right" vertical="center"/>
    </xf>
    <xf numFmtId="0" fontId="37" fillId="0" borderId="0" xfId="1" applyFont="1"/>
    <xf numFmtId="175" fontId="30" fillId="0" borderId="0" xfId="8" applyNumberFormat="1" applyFont="1" applyFill="1" applyBorder="1" applyProtection="1">
      <alignment horizontal="right"/>
      <protection locked="0"/>
    </xf>
    <xf numFmtId="10" fontId="11" fillId="0" borderId="0" xfId="11" applyNumberFormat="1" applyFont="1" applyBorder="1" applyAlignment="1">
      <alignment horizontal="center"/>
    </xf>
    <xf numFmtId="0" fontId="15" fillId="0" borderId="22" xfId="1" applyFont="1" applyBorder="1"/>
    <xf numFmtId="0" fontId="15" fillId="0" borderId="36" xfId="1" applyFont="1" applyBorder="1"/>
    <xf numFmtId="0" fontId="11" fillId="0" borderId="19" xfId="1" applyFont="1" applyBorder="1"/>
    <xf numFmtId="6" fontId="11" fillId="10" borderId="55" xfId="4" applyNumberFormat="1" applyFont="1" applyFill="1" applyBorder="1"/>
    <xf numFmtId="6" fontId="11" fillId="10" borderId="33" xfId="4" applyNumberFormat="1" applyFont="1" applyFill="1" applyBorder="1"/>
    <xf numFmtId="43" fontId="11" fillId="5" borderId="0" xfId="1" applyNumberFormat="1" applyFont="1" applyFill="1"/>
    <xf numFmtId="9" fontId="11" fillId="5" borderId="0" xfId="1" applyNumberFormat="1" applyFont="1" applyFill="1"/>
    <xf numFmtId="10" fontId="11" fillId="0" borderId="0" xfId="11" applyNumberFormat="1" applyFont="1" applyFill="1"/>
    <xf numFmtId="1" fontId="24" fillId="0" borderId="0" xfId="0" applyNumberFormat="1" applyFont="1" applyProtection="1">
      <protection locked="0"/>
    </xf>
    <xf numFmtId="0" fontId="15" fillId="11" borderId="0" xfId="1" applyFont="1" applyFill="1" applyAlignment="1">
      <alignment horizontal="left"/>
    </xf>
    <xf numFmtId="0" fontId="15" fillId="11" borderId="0" xfId="1" applyFont="1" applyFill="1" applyAlignment="1">
      <alignment horizontal="left" wrapText="1"/>
    </xf>
    <xf numFmtId="0" fontId="15" fillId="4" borderId="48" xfId="7" applyFont="1" applyFill="1" applyBorder="1" applyAlignment="1">
      <alignment horizontal="center"/>
    </xf>
    <xf numFmtId="0" fontId="3" fillId="0" borderId="49" xfId="0" applyFont="1" applyBorder="1" applyAlignment="1">
      <alignment horizontal="center"/>
    </xf>
  </cellXfs>
  <cellStyles count="31">
    <cellStyle name="Accent6 2" xfId="16"/>
    <cellStyle name="Comma 2" xfId="5"/>
    <cellStyle name="Comma 2 2" xfId="6"/>
    <cellStyle name="Comma 2 3" xfId="15"/>
    <cellStyle name="Comma 3" xfId="20"/>
    <cellStyle name="Comma 4" xfId="13"/>
    <cellStyle name="Comma 5" xfId="27"/>
    <cellStyle name="Currency 2" xfId="10"/>
    <cellStyle name="Currency 2 2" xfId="17"/>
    <cellStyle name="Currency 3" xfId="24"/>
    <cellStyle name="Currency 4" xfId="28"/>
    <cellStyle name="dms_BY1" xfId="23"/>
    <cellStyle name="Input1" xfId="8"/>
    <cellStyle name="Normal" xfId="0" builtinId="0"/>
    <cellStyle name="Normal 10 2" xfId="25"/>
    <cellStyle name="Normal 2" xfId="1"/>
    <cellStyle name="Normal 2 2" xfId="18"/>
    <cellStyle name="Normal 3" xfId="19"/>
    <cellStyle name="Normal 4" xfId="12"/>
    <cellStyle name="Normal 5" xfId="26"/>
    <cellStyle name="Normal 75" xfId="9"/>
    <cellStyle name="Normal 9" xfId="22"/>
    <cellStyle name="Normal_051020 Meter tariff approval model" xfId="2"/>
    <cellStyle name="Normal_JEM 2011 Tariff Approval mr check v2.0 test code v1.2" xfId="7"/>
    <cellStyle name="Percent" xfId="11" builtinId="5"/>
    <cellStyle name="Percent 2" xfId="3"/>
    <cellStyle name="Percent 2 2" xfId="4"/>
    <cellStyle name="Percent 2 3" xfId="21"/>
    <cellStyle name="Percent 2 4" xfId="30"/>
    <cellStyle name="Percent 3" xfId="14"/>
    <cellStyle name="Percent 4" xfId="29"/>
  </cellStyles>
  <dxfs count="13"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DE9D9"/>
      <color rgb="FFDA9694"/>
      <color rgb="FFB9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61925"/>
          <a:ext cx="3401857" cy="77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1140723</xdr:colOff>
      <xdr:row>28</xdr:row>
      <xdr:rowOff>87465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470647"/>
          <a:ext cx="4771429" cy="40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16</xdr:col>
      <xdr:colOff>263276</xdr:colOff>
      <xdr:row>52</xdr:row>
      <xdr:rowOff>84193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470647"/>
          <a:ext cx="4980952" cy="777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24</xdr:col>
      <xdr:colOff>440367</xdr:colOff>
      <xdr:row>17</xdr:row>
      <xdr:rowOff>70314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470647"/>
          <a:ext cx="4676190" cy="22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571500</xdr:colOff>
      <xdr:row>19</xdr:row>
      <xdr:rowOff>78442</xdr:rowOff>
    </xdr:from>
    <xdr:to>
      <xdr:col>24</xdr:col>
      <xdr:colOff>492464</xdr:colOff>
      <xdr:row>68</xdr:row>
      <xdr:rowOff>38826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41" y="3059207"/>
          <a:ext cx="4761905" cy="7647619"/>
        </a:xfrm>
        <a:prstGeom prst="rect">
          <a:avLst/>
        </a:prstGeom>
      </xdr:spPr>
    </xdr:pic>
    <xdr:clientData/>
  </xdr:twoCellAnchor>
  <xdr:twoCellAnchor editAs="oneCell">
    <xdr:from>
      <xdr:col>25</xdr:col>
      <xdr:colOff>212912</xdr:colOff>
      <xdr:row>1</xdr:row>
      <xdr:rowOff>22412</xdr:rowOff>
    </xdr:from>
    <xdr:to>
      <xdr:col>33</xdr:col>
      <xdr:colOff>86257</xdr:colOff>
      <xdr:row>17</xdr:row>
      <xdr:rowOff>17056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4412" y="179294"/>
          <a:ext cx="4714286" cy="2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8</xdr:col>
      <xdr:colOff>213998</xdr:colOff>
      <xdr:row>83</xdr:row>
      <xdr:rowOff>13171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" y="10824882"/>
          <a:ext cx="4752381" cy="2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549087</xdr:colOff>
      <xdr:row>85</xdr:row>
      <xdr:rowOff>11205</xdr:rowOff>
    </xdr:from>
    <xdr:to>
      <xdr:col>8</xdr:col>
      <xdr:colOff>34158</xdr:colOff>
      <xdr:row>115</xdr:row>
      <xdr:rowOff>57115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3352" y="13346205"/>
          <a:ext cx="4628571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403411</xdr:colOff>
      <xdr:row>68</xdr:row>
      <xdr:rowOff>145676</xdr:rowOff>
    </xdr:from>
    <xdr:to>
      <xdr:col>16</xdr:col>
      <xdr:colOff>476211</xdr:colOff>
      <xdr:row>117</xdr:row>
      <xdr:rowOff>106060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76" y="10813676"/>
          <a:ext cx="4790476" cy="76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25</xdr:col>
      <xdr:colOff>101916</xdr:colOff>
      <xdr:row>117</xdr:row>
      <xdr:rowOff>31552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0559" y="10824882"/>
          <a:ext cx="4942857" cy="75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69</xdr:row>
      <xdr:rowOff>0</xdr:rowOff>
    </xdr:from>
    <xdr:to>
      <xdr:col>32</xdr:col>
      <xdr:colOff>535605</xdr:colOff>
      <xdr:row>117</xdr:row>
      <xdr:rowOff>107742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11500" y="10824882"/>
          <a:ext cx="4771429" cy="763809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69</xdr:row>
      <xdr:rowOff>0</xdr:rowOff>
    </xdr:from>
    <xdr:to>
      <xdr:col>41</xdr:col>
      <xdr:colOff>225726</xdr:colOff>
      <xdr:row>109</xdr:row>
      <xdr:rowOff>10420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52441" y="10824882"/>
          <a:ext cx="5066667" cy="6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7</xdr:col>
      <xdr:colOff>1197865</xdr:colOff>
      <xdr:row>158</xdr:row>
      <xdr:rowOff>100636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265" y="18669000"/>
          <a:ext cx="4828571" cy="62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16</xdr:col>
      <xdr:colOff>129943</xdr:colOff>
      <xdr:row>164</xdr:row>
      <xdr:rowOff>73627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47765" y="18669000"/>
          <a:ext cx="4847619" cy="71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119</xdr:row>
      <xdr:rowOff>0</xdr:rowOff>
    </xdr:from>
    <xdr:to>
      <xdr:col>24</xdr:col>
      <xdr:colOff>155718</xdr:colOff>
      <xdr:row>164</xdr:row>
      <xdr:rowOff>35532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33529" y="18669000"/>
          <a:ext cx="4828571" cy="70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123265</xdr:colOff>
      <xdr:row>164</xdr:row>
      <xdr:rowOff>0</xdr:rowOff>
    </xdr:from>
    <xdr:to>
      <xdr:col>24</xdr:col>
      <xdr:colOff>91848</xdr:colOff>
      <xdr:row>175</xdr:row>
      <xdr:rowOff>7627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88706" y="25728706"/>
          <a:ext cx="4809524" cy="1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47"/>
  <sheetViews>
    <sheetView showGridLines="0" zoomScale="85" zoomScaleNormal="85" workbookViewId="0"/>
  </sheetViews>
  <sheetFormatPr defaultRowHeight="12.75" x14ac:dyDescent="0.2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 x14ac:dyDescent="0.8">
      <c r="G8" s="1" t="s">
        <v>0</v>
      </c>
      <c r="H8" s="2"/>
      <c r="I8" s="2"/>
      <c r="J8" s="3"/>
      <c r="K8" s="3"/>
      <c r="L8" s="3"/>
      <c r="M8" s="3"/>
      <c r="N8" s="3"/>
      <c r="O8" s="3"/>
      <c r="P8" s="3"/>
      <c r="Q8" s="3"/>
    </row>
    <row r="9" spans="7:17" ht="36.75" customHeight="1" x14ac:dyDescent="0.8">
      <c r="G9" s="1"/>
      <c r="H9" s="2"/>
      <c r="I9" s="380" t="s">
        <v>162</v>
      </c>
      <c r="J9" s="3"/>
      <c r="K9" s="3"/>
      <c r="L9" s="3"/>
      <c r="M9" s="3"/>
      <c r="N9" s="3"/>
      <c r="O9" s="3"/>
      <c r="P9" s="3"/>
      <c r="Q9" s="3"/>
    </row>
    <row r="10" spans="7:17" ht="30" x14ac:dyDescent="0.4">
      <c r="G10" s="4" t="s">
        <v>1</v>
      </c>
    </row>
    <row r="12" spans="7:17" ht="15" x14ac:dyDescent="0.2">
      <c r="J12" s="5" t="s">
        <v>2</v>
      </c>
    </row>
    <row r="17" spans="4:28" x14ac:dyDescent="0.2">
      <c r="D17" s="303" t="s">
        <v>3</v>
      </c>
      <c r="E17" s="303"/>
      <c r="F17" s="303"/>
      <c r="G17" s="303"/>
      <c r="H17" s="303"/>
      <c r="I17" s="303"/>
      <c r="J17" s="303"/>
      <c r="K17" s="303"/>
      <c r="L17" s="6"/>
      <c r="M17" s="7" t="s">
        <v>4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4:28" x14ac:dyDescent="0.2">
      <c r="D18" s="303"/>
      <c r="E18" s="304" t="s">
        <v>5</v>
      </c>
      <c r="F18" s="303" t="s">
        <v>6</v>
      </c>
      <c r="G18" s="303"/>
      <c r="H18" s="303"/>
      <c r="I18" s="303"/>
      <c r="J18" s="303"/>
      <c r="K18" s="303"/>
      <c r="M18" s="7"/>
      <c r="N18" s="8" t="s">
        <v>7</v>
      </c>
      <c r="O18" s="7" t="s">
        <v>8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4:28" x14ac:dyDescent="0.2">
      <c r="D19" s="303"/>
      <c r="E19" s="303"/>
      <c r="F19" s="303"/>
      <c r="G19" s="303"/>
      <c r="H19" s="303"/>
      <c r="I19" s="303"/>
      <c r="J19" s="303"/>
      <c r="K19" s="303"/>
      <c r="M19" s="7"/>
      <c r="N19" s="7"/>
      <c r="O19" s="7" t="s">
        <v>9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4:28" x14ac:dyDescent="0.2">
      <c r="D20" s="303"/>
      <c r="E20" s="304" t="s">
        <v>7</v>
      </c>
      <c r="F20" s="303" t="s">
        <v>10</v>
      </c>
      <c r="G20" s="303"/>
      <c r="H20" s="303"/>
      <c r="I20" s="303"/>
      <c r="J20" s="303"/>
      <c r="K20" s="303"/>
      <c r="M20" s="7"/>
      <c r="N20" s="7"/>
      <c r="O20" s="7" t="s">
        <v>11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4:28" x14ac:dyDescent="0.2">
      <c r="D21" s="303"/>
      <c r="E21" s="303"/>
      <c r="F21" s="303" t="s">
        <v>12</v>
      </c>
      <c r="G21" s="303"/>
      <c r="H21" s="303"/>
      <c r="I21" s="303"/>
      <c r="J21" s="303"/>
      <c r="K21" s="303"/>
      <c r="M21" s="7"/>
      <c r="N21" s="7"/>
      <c r="O21" s="7" t="s">
        <v>13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4:28" x14ac:dyDescent="0.2">
      <c r="D22" s="303"/>
      <c r="E22" s="303"/>
      <c r="F22" s="303" t="s">
        <v>14</v>
      </c>
      <c r="G22" s="303"/>
      <c r="H22" s="303"/>
      <c r="I22" s="303"/>
      <c r="J22" s="303"/>
      <c r="K22" s="303"/>
      <c r="M22" s="7"/>
      <c r="N22" s="7"/>
      <c r="O22" s="7" t="s">
        <v>15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4:28" x14ac:dyDescent="0.2">
      <c r="D23" s="303"/>
      <c r="E23" s="303"/>
      <c r="F23" s="303"/>
      <c r="G23" s="303"/>
      <c r="H23" s="303"/>
      <c r="I23" s="303"/>
      <c r="J23" s="303"/>
      <c r="K23" s="303"/>
      <c r="M23" s="7"/>
      <c r="N23" s="7"/>
      <c r="O23" s="7" t="s">
        <v>168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4:28" x14ac:dyDescent="0.2">
      <c r="D24" s="303"/>
      <c r="E24" s="304" t="s">
        <v>16</v>
      </c>
      <c r="F24" s="303" t="s">
        <v>17</v>
      </c>
      <c r="G24" s="303"/>
      <c r="H24" s="303"/>
      <c r="I24" s="303"/>
      <c r="J24" s="303"/>
      <c r="K24" s="303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4:28" x14ac:dyDescent="0.2">
      <c r="D25" s="303"/>
      <c r="E25" s="303"/>
      <c r="F25" s="303" t="s">
        <v>20</v>
      </c>
      <c r="G25" s="303"/>
      <c r="H25" s="303"/>
      <c r="I25" s="303"/>
      <c r="J25" s="303"/>
      <c r="K25" s="303"/>
      <c r="M25" s="7"/>
      <c r="N25" s="8" t="s">
        <v>18</v>
      </c>
      <c r="O25" s="7" t="s">
        <v>19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4:28" x14ac:dyDescent="0.2">
      <c r="D26" s="303"/>
      <c r="E26" s="303"/>
      <c r="F26" s="303" t="s">
        <v>166</v>
      </c>
      <c r="G26" s="303"/>
      <c r="H26" s="303"/>
      <c r="I26" s="303"/>
      <c r="J26" s="303"/>
      <c r="K26" s="303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4:28" x14ac:dyDescent="0.2">
      <c r="D27" s="303"/>
      <c r="E27" s="303"/>
      <c r="F27" s="303" t="s">
        <v>21</v>
      </c>
      <c r="G27" s="303"/>
      <c r="H27" s="303"/>
      <c r="I27" s="303"/>
      <c r="J27" s="303"/>
      <c r="K27" s="303"/>
    </row>
    <row r="28" spans="4:28" x14ac:dyDescent="0.2">
      <c r="D28" s="303"/>
      <c r="E28" s="303"/>
      <c r="F28" s="303"/>
      <c r="G28" s="303"/>
      <c r="H28" s="303"/>
      <c r="I28" s="303"/>
      <c r="J28" s="303"/>
      <c r="K28" s="303"/>
    </row>
    <row r="29" spans="4:28" x14ac:dyDescent="0.2">
      <c r="D29" s="303"/>
      <c r="E29" s="304" t="s">
        <v>18</v>
      </c>
      <c r="F29" s="303" t="s">
        <v>22</v>
      </c>
      <c r="G29" s="303"/>
      <c r="H29" s="303"/>
      <c r="I29" s="303"/>
      <c r="J29" s="303"/>
      <c r="K29" s="303"/>
    </row>
    <row r="30" spans="4:28" x14ac:dyDescent="0.2">
      <c r="D30" s="303"/>
      <c r="E30" s="303"/>
      <c r="F30" s="303" t="s">
        <v>23</v>
      </c>
      <c r="G30" s="303"/>
      <c r="H30" s="303"/>
      <c r="I30" s="303"/>
      <c r="J30" s="303"/>
      <c r="K30" s="303"/>
      <c r="M30" s="305" t="s">
        <v>24</v>
      </c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</row>
    <row r="31" spans="4:28" x14ac:dyDescent="0.2">
      <c r="D31" s="303"/>
      <c r="E31" s="303"/>
      <c r="F31" s="303"/>
      <c r="G31" s="303"/>
      <c r="H31" s="303"/>
      <c r="I31" s="303"/>
      <c r="J31" s="303"/>
      <c r="K31" s="303"/>
    </row>
    <row r="38" spans="5:16" ht="15.75" x14ac:dyDescent="0.25">
      <c r="E38" s="9" t="s">
        <v>25</v>
      </c>
      <c r="F38" s="10"/>
      <c r="G38" s="10"/>
      <c r="H38" s="10"/>
      <c r="I38" s="10"/>
      <c r="J38" s="10"/>
      <c r="K38" s="10"/>
      <c r="L38" s="10"/>
    </row>
    <row r="39" spans="5:16" x14ac:dyDescent="0.2">
      <c r="E39" s="11"/>
      <c r="F39" s="11"/>
      <c r="G39" s="11"/>
      <c r="H39" s="11"/>
      <c r="I39" s="11"/>
      <c r="J39" s="11"/>
      <c r="K39" s="11"/>
      <c r="L39" s="11"/>
    </row>
    <row r="40" spans="5:16" x14ac:dyDescent="0.2">
      <c r="E40" s="12" t="s">
        <v>26</v>
      </c>
      <c r="F40" s="12" t="s">
        <v>27</v>
      </c>
      <c r="G40" s="12"/>
      <c r="H40" s="12" t="s">
        <v>28</v>
      </c>
      <c r="I40" s="12"/>
      <c r="J40" s="12"/>
      <c r="K40" s="12"/>
      <c r="L40" s="12"/>
      <c r="M40" s="13"/>
      <c r="N40" s="13"/>
      <c r="O40" s="13"/>
      <c r="P40" s="13"/>
    </row>
    <row r="41" spans="5:16" x14ac:dyDescent="0.2">
      <c r="E41" s="14">
        <v>1</v>
      </c>
      <c r="F41" s="15" t="s">
        <v>169</v>
      </c>
      <c r="G41" s="15"/>
      <c r="H41" s="16" t="s">
        <v>159</v>
      </c>
      <c r="I41" s="16"/>
      <c r="J41" s="16"/>
      <c r="K41" s="16"/>
      <c r="L41" s="16"/>
    </row>
    <row r="42" spans="5:16" x14ac:dyDescent="0.2">
      <c r="H42" s="17" t="s">
        <v>160</v>
      </c>
    </row>
    <row r="43" spans="5:16" x14ac:dyDescent="0.2">
      <c r="H43" t="s">
        <v>29</v>
      </c>
    </row>
    <row r="44" spans="5:16" x14ac:dyDescent="0.2">
      <c r="H44" s="17" t="s">
        <v>167</v>
      </c>
    </row>
    <row r="45" spans="5:16" x14ac:dyDescent="0.2">
      <c r="H45" s="17" t="s">
        <v>161</v>
      </c>
    </row>
    <row r="46" spans="5:16" x14ac:dyDescent="0.2">
      <c r="H46" s="17" t="s">
        <v>30</v>
      </c>
    </row>
    <row r="47" spans="5:16" x14ac:dyDescent="0.2">
      <c r="H47" s="17" t="s">
        <v>31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1:A85"/>
  <sheetViews>
    <sheetView showGridLines="0" zoomScale="85" zoomScaleNormal="85" workbookViewId="0"/>
  </sheetViews>
  <sheetFormatPr defaultRowHeight="12.75" x14ac:dyDescent="0.2"/>
  <cols>
    <col min="1" max="1" width="7.5703125" style="18" bestFit="1" customWidth="1"/>
    <col min="2" max="2" width="9.140625" style="18" customWidth="1"/>
    <col min="3" max="7" width="9.140625" style="18"/>
    <col min="8" max="8" width="22.7109375" style="18" customWidth="1"/>
    <col min="9" max="15" width="9.140625" style="18"/>
    <col min="16" max="16" width="7.140625" style="18" customWidth="1"/>
    <col min="17" max="16384" width="9.140625" style="18"/>
  </cols>
  <sheetData>
    <row r="81" spans="1:1" x14ac:dyDescent="0.2">
      <c r="A81" s="19"/>
    </row>
    <row r="83" spans="1:1" x14ac:dyDescent="0.2">
      <c r="A83" s="19"/>
    </row>
    <row r="85" spans="1:1" x14ac:dyDescent="0.2">
      <c r="A85" s="1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DE9D9"/>
    <pageSetUpPr fitToPage="1"/>
  </sheetPr>
  <dimension ref="B1:AB93"/>
  <sheetViews>
    <sheetView showGridLines="0" tabSelected="1" zoomScale="85" zoomScaleNormal="85" workbookViewId="0">
      <pane ySplit="11" topLeftCell="A12" activePane="bottomLeft" state="frozen"/>
      <selection pane="bottomLeft" activeCell="L34" sqref="L34"/>
    </sheetView>
  </sheetViews>
  <sheetFormatPr defaultRowHeight="12.75" x14ac:dyDescent="0.2"/>
  <cols>
    <col min="1" max="1" width="2.140625" style="21" customWidth="1"/>
    <col min="2" max="2" width="38.5703125" style="21" customWidth="1"/>
    <col min="3" max="5" width="13" style="21" customWidth="1"/>
    <col min="6" max="10" width="13.5703125" style="21" customWidth="1"/>
    <col min="11" max="11" width="3.7109375" style="21" customWidth="1"/>
    <col min="12" max="14" width="13.7109375" style="21" customWidth="1"/>
    <col min="15" max="16" width="11.85546875" style="21" customWidth="1"/>
    <col min="17" max="16384" width="9.140625" style="21"/>
  </cols>
  <sheetData>
    <row r="1" spans="2:28" x14ac:dyDescent="0.2">
      <c r="B1" s="20"/>
      <c r="C1" s="20"/>
    </row>
    <row r="2" spans="2:28" x14ac:dyDescent="0.2">
      <c r="B2" s="20"/>
      <c r="C2" s="20"/>
      <c r="I2" s="22"/>
    </row>
    <row r="3" spans="2:28" x14ac:dyDescent="0.2">
      <c r="B3" s="23" t="s">
        <v>32</v>
      </c>
      <c r="C3" s="23"/>
      <c r="D3" s="343"/>
      <c r="E3" s="344" t="s">
        <v>79</v>
      </c>
      <c r="F3" s="343"/>
      <c r="L3" s="383" t="s">
        <v>79</v>
      </c>
      <c r="M3" s="383">
        <v>2022</v>
      </c>
    </row>
    <row r="4" spans="2:28" x14ac:dyDescent="0.2">
      <c r="L4" s="383" t="s">
        <v>77</v>
      </c>
      <c r="M4" s="383">
        <v>2023</v>
      </c>
    </row>
    <row r="5" spans="2:28" x14ac:dyDescent="0.2">
      <c r="B5" s="21" t="s">
        <v>33</v>
      </c>
      <c r="E5" s="345">
        <v>2022</v>
      </c>
      <c r="L5" s="383" t="s">
        <v>76</v>
      </c>
      <c r="M5" s="383">
        <v>2024</v>
      </c>
    </row>
    <row r="6" spans="2:28" x14ac:dyDescent="0.2">
      <c r="L6" s="383" t="s">
        <v>78</v>
      </c>
      <c r="M6" s="383">
        <v>2025</v>
      </c>
    </row>
    <row r="7" spans="2:28" x14ac:dyDescent="0.2">
      <c r="B7" s="21" t="s">
        <v>34</v>
      </c>
      <c r="D7" s="21" t="s">
        <v>35</v>
      </c>
      <c r="E7" s="24" t="str">
        <f>IF(E5=2021,"HY21",IF(E5&lt;2021, E5,E5-1&amp;"/"&amp;E5-2000))</f>
        <v>2021/22</v>
      </c>
      <c r="G7" s="25" t="s">
        <v>36</v>
      </c>
      <c r="L7" s="383" t="s">
        <v>80</v>
      </c>
      <c r="M7" s="383">
        <v>2026</v>
      </c>
    </row>
    <row r="8" spans="2:28" x14ac:dyDescent="0.2">
      <c r="B8" s="21" t="s">
        <v>37</v>
      </c>
      <c r="D8" s="21" t="s">
        <v>35</v>
      </c>
      <c r="E8" s="24" t="str">
        <f>IF(E5=2022,"HY21",IF(E5&lt;2022,E5-1,E5-2&amp;"/"&amp;E5-2001))</f>
        <v>HY21</v>
      </c>
      <c r="G8" s="24" t="s">
        <v>38</v>
      </c>
    </row>
    <row r="9" spans="2:28" x14ac:dyDescent="0.2">
      <c r="B9" s="21" t="s">
        <v>39</v>
      </c>
      <c r="D9" s="21" t="s">
        <v>35</v>
      </c>
      <c r="E9" s="24">
        <f>IF(E5=2023,"HY21",IF(E5&lt;2023,E5-2,E5-3&amp;"/"&amp;E5-2002))</f>
        <v>2020</v>
      </c>
    </row>
    <row r="10" spans="2:28" x14ac:dyDescent="0.2">
      <c r="B10" s="21" t="s">
        <v>40</v>
      </c>
      <c r="D10" s="21" t="s">
        <v>35</v>
      </c>
      <c r="E10" s="24">
        <f>IF(E5=2024,"HY21",IF(E5&lt;2024,E5-3,E5-4&amp;"/"&amp;E5-2003))</f>
        <v>2019</v>
      </c>
    </row>
    <row r="11" spans="2:28" x14ac:dyDescent="0.2">
      <c r="B11" s="21" t="s">
        <v>41</v>
      </c>
      <c r="D11" s="21" t="s">
        <v>35</v>
      </c>
      <c r="E11" s="24">
        <f>IF(E5=2025,"HY21",IF(E5&lt;2025,E5-4,E5-5&amp;"/"&amp;E5-2004))</f>
        <v>2018</v>
      </c>
    </row>
    <row r="12" spans="2:28" ht="13.5" thickBot="1" x14ac:dyDescent="0.25"/>
    <row r="13" spans="2:28" ht="24" customHeight="1" x14ac:dyDescent="0.2">
      <c r="B13" s="26" t="s">
        <v>42</v>
      </c>
      <c r="C13" s="27"/>
      <c r="D13" s="28" t="s">
        <v>43</v>
      </c>
      <c r="E13" s="28"/>
      <c r="F13" s="28"/>
      <c r="G13" s="28"/>
      <c r="H13" s="28"/>
      <c r="I13" s="29"/>
    </row>
    <row r="14" spans="2:28" x14ac:dyDescent="0.2">
      <c r="B14" s="30" t="s">
        <v>44</v>
      </c>
      <c r="C14" s="31"/>
      <c r="D14" s="32"/>
      <c r="E14" s="346">
        <v>108.6</v>
      </c>
      <c r="F14" s="33"/>
      <c r="G14" s="34"/>
      <c r="H14" s="34"/>
      <c r="I14" s="35"/>
      <c r="L14" s="34"/>
    </row>
    <row r="15" spans="2:28" x14ac:dyDescent="0.2">
      <c r="B15" s="36" t="s">
        <v>45</v>
      </c>
      <c r="C15" s="37"/>
      <c r="D15" s="33"/>
      <c r="E15" s="347">
        <v>110.7</v>
      </c>
      <c r="F15" s="34"/>
      <c r="G15" s="38" t="s">
        <v>46</v>
      </c>
      <c r="H15" s="39">
        <f t="shared" ref="H15:H20" si="0">E15/E14-1</f>
        <v>1.9337016574585641E-2</v>
      </c>
      <c r="I15" s="35"/>
      <c r="L15" s="40"/>
    </row>
    <row r="16" spans="2:28" x14ac:dyDescent="0.2">
      <c r="B16" s="36" t="s">
        <v>47</v>
      </c>
      <c r="C16" s="37"/>
      <c r="D16" s="33"/>
      <c r="E16" s="348">
        <v>113</v>
      </c>
      <c r="F16" s="34"/>
      <c r="G16" s="41" t="s">
        <v>48</v>
      </c>
      <c r="H16" s="42">
        <f t="shared" si="0"/>
        <v>2.0776874435411097E-2</v>
      </c>
      <c r="I16" s="35"/>
      <c r="K16" s="395" t="s">
        <v>49</v>
      </c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  <c r="AA16" s="395"/>
      <c r="AB16" s="395"/>
    </row>
    <row r="17" spans="2:28" x14ac:dyDescent="0.2">
      <c r="B17" s="36" t="s">
        <v>50</v>
      </c>
      <c r="C17" s="37"/>
      <c r="D17" s="43"/>
      <c r="E17" s="348">
        <v>114.8</v>
      </c>
      <c r="F17" s="34"/>
      <c r="G17" s="41" t="s">
        <v>51</v>
      </c>
      <c r="H17" s="42">
        <f t="shared" si="0"/>
        <v>1.5929203539823078E-2</v>
      </c>
      <c r="I17" s="35"/>
      <c r="K17" s="395" t="s">
        <v>52</v>
      </c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</row>
    <row r="18" spans="2:28" ht="12.75" customHeight="1" x14ac:dyDescent="0.2">
      <c r="B18" s="36" t="s">
        <v>53</v>
      </c>
      <c r="C18" s="37"/>
      <c r="D18" s="43"/>
      <c r="E18" s="348">
        <v>116.2</v>
      </c>
      <c r="F18" s="34"/>
      <c r="G18" s="41" t="s">
        <v>54</v>
      </c>
      <c r="H18" s="42">
        <f t="shared" si="0"/>
        <v>1.2195121951219523E-2</v>
      </c>
      <c r="I18" s="35"/>
      <c r="K18" s="396" t="s">
        <v>55</v>
      </c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</row>
    <row r="19" spans="2:28" x14ac:dyDescent="0.2">
      <c r="B19" s="36" t="s">
        <v>56</v>
      </c>
      <c r="C19" s="37"/>
      <c r="D19" s="43"/>
      <c r="E19" s="348">
        <v>117.2</v>
      </c>
      <c r="F19" s="34"/>
      <c r="G19" s="41" t="s">
        <v>57</v>
      </c>
      <c r="H19" s="42">
        <f t="shared" si="0"/>
        <v>8.6058519793459354E-3</v>
      </c>
      <c r="I19" s="35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</row>
    <row r="20" spans="2:28" x14ac:dyDescent="0.2">
      <c r="B20" s="36" t="s">
        <v>58</v>
      </c>
      <c r="C20" s="37"/>
      <c r="D20" s="43"/>
      <c r="E20" s="348">
        <f>E19*(1+H24)</f>
        <v>119.54328185756815</v>
      </c>
      <c r="F20" s="34"/>
      <c r="G20" s="41" t="s">
        <v>59</v>
      </c>
      <c r="H20" s="42">
        <f t="shared" si="0"/>
        <v>1.9993872504847632E-2</v>
      </c>
      <c r="I20" s="35"/>
    </row>
    <row r="21" spans="2:28" x14ac:dyDescent="0.2">
      <c r="B21" s="36" t="s">
        <v>60</v>
      </c>
      <c r="C21" s="37"/>
      <c r="D21" s="43"/>
      <c r="E21" s="348">
        <f>E20*(1+H24)</f>
        <v>121.93341499383943</v>
      </c>
      <c r="F21" s="34"/>
      <c r="G21" s="41" t="s">
        <v>61</v>
      </c>
      <c r="H21" s="42">
        <f t="shared" ref="H21:H22" si="1">E21/E20-1</f>
        <v>1.9993872504847632E-2</v>
      </c>
      <c r="I21" s="35"/>
    </row>
    <row r="22" spans="2:28" x14ac:dyDescent="0.2">
      <c r="B22" s="36" t="s">
        <v>62</v>
      </c>
      <c r="C22" s="37"/>
      <c r="D22" s="43"/>
      <c r="E22" s="348">
        <f>E21*(1+H24)</f>
        <v>124.37133614730693</v>
      </c>
      <c r="F22" s="34"/>
      <c r="G22" s="41" t="s">
        <v>63</v>
      </c>
      <c r="H22" s="42">
        <f t="shared" si="1"/>
        <v>1.9993872504847632E-2</v>
      </c>
      <c r="I22" s="35"/>
    </row>
    <row r="23" spans="2:28" x14ac:dyDescent="0.2">
      <c r="B23" s="44" t="s">
        <v>64</v>
      </c>
      <c r="C23" s="45"/>
      <c r="D23" s="46"/>
      <c r="E23" s="348">
        <f>E22*(1+H24)</f>
        <v>126.85800078549374</v>
      </c>
      <c r="F23" s="34"/>
      <c r="G23" s="47" t="s">
        <v>65</v>
      </c>
      <c r="H23" s="48">
        <f>E23/E22-1</f>
        <v>1.9993872504847632E-2</v>
      </c>
      <c r="I23" s="35"/>
    </row>
    <row r="24" spans="2:28" x14ac:dyDescent="0.2">
      <c r="B24" s="49"/>
      <c r="C24" s="33"/>
      <c r="D24" s="33"/>
      <c r="E24" s="50"/>
      <c r="F24" s="33"/>
      <c r="G24" s="34" t="s">
        <v>170</v>
      </c>
      <c r="H24" s="385">
        <v>1.9993872504847632E-2</v>
      </c>
      <c r="I24" s="35"/>
    </row>
    <row r="25" spans="2:28" x14ac:dyDescent="0.2">
      <c r="B25" s="49" t="str">
        <f>"CPI " &amp;$E$10</f>
        <v>CPI 2019</v>
      </c>
      <c r="C25" s="33"/>
      <c r="D25" s="33"/>
      <c r="E25" s="51">
        <f>VLOOKUP(B25,G$15:H$23,2,FALSE)</f>
        <v>2.0776874435411097E-2</v>
      </c>
      <c r="F25" s="52" t="s">
        <v>66</v>
      </c>
      <c r="G25" s="34"/>
      <c r="H25" s="34"/>
      <c r="I25" s="35"/>
    </row>
    <row r="26" spans="2:28" x14ac:dyDescent="0.2">
      <c r="B26" s="49" t="str">
        <f>"CPI " &amp;$E$9</f>
        <v>CPI 2020</v>
      </c>
      <c r="C26" s="33"/>
      <c r="D26" s="33"/>
      <c r="E26" s="51">
        <f>VLOOKUP(B26,G$15:H$23,2,FALSE)</f>
        <v>1.5929203539823078E-2</v>
      </c>
      <c r="F26" s="52" t="s">
        <v>67</v>
      </c>
      <c r="G26" s="34"/>
      <c r="H26" s="34"/>
      <c r="I26" s="35"/>
    </row>
    <row r="27" spans="2:28" x14ac:dyDescent="0.2">
      <c r="B27" s="49" t="str">
        <f>"CPI " &amp;$E$8</f>
        <v>CPI HY21</v>
      </c>
      <c r="C27" s="33"/>
      <c r="D27" s="33"/>
      <c r="E27" s="51">
        <f>VLOOKUP(B27,G$15:H$23,2,FALSE)</f>
        <v>1.2195121951219523E-2</v>
      </c>
      <c r="F27" s="52" t="s">
        <v>68</v>
      </c>
      <c r="G27" s="34"/>
      <c r="H27" s="34"/>
      <c r="I27" s="35"/>
    </row>
    <row r="28" spans="2:28" x14ac:dyDescent="0.2">
      <c r="B28" s="49" t="str">
        <f>"CPI " &amp;$E$7</f>
        <v>CPI 2021/22</v>
      </c>
      <c r="C28" s="33"/>
      <c r="D28" s="33"/>
      <c r="E28" s="51">
        <f>VLOOKUP(B28,G$15:H$23,2,FALSE)</f>
        <v>8.6058519793459354E-3</v>
      </c>
      <c r="F28" s="52" t="s">
        <v>69</v>
      </c>
      <c r="G28" s="34"/>
      <c r="H28" s="34"/>
      <c r="I28" s="35"/>
    </row>
    <row r="29" spans="2:28" ht="13.5" thickBot="1" x14ac:dyDescent="0.25">
      <c r="B29" s="53"/>
      <c r="C29" s="54"/>
      <c r="D29" s="54"/>
      <c r="E29" s="54"/>
      <c r="F29" s="54"/>
      <c r="G29" s="54"/>
      <c r="H29" s="54"/>
      <c r="I29" s="55"/>
    </row>
    <row r="31" spans="2:28" ht="13.5" thickBot="1" x14ac:dyDescent="0.25"/>
    <row r="32" spans="2:28" x14ac:dyDescent="0.2">
      <c r="B32" s="56" t="s">
        <v>70</v>
      </c>
      <c r="C32" s="57"/>
      <c r="D32" s="58"/>
      <c r="E32" s="34"/>
      <c r="F32" s="59"/>
      <c r="G32" s="60"/>
      <c r="H32" s="60"/>
      <c r="I32" s="61"/>
      <c r="J32" s="60"/>
      <c r="K32" s="62"/>
      <c r="L32" s="62"/>
      <c r="M32" s="62"/>
      <c r="N32" s="63"/>
    </row>
    <row r="33" spans="2:14" x14ac:dyDescent="0.2">
      <c r="B33" s="64" t="str">
        <f>$E$7</f>
        <v>2021/22</v>
      </c>
      <c r="C33" s="65"/>
      <c r="D33" s="66"/>
      <c r="E33" s="67"/>
      <c r="F33" s="68" t="s">
        <v>38</v>
      </c>
      <c r="G33" s="69" t="s">
        <v>71</v>
      </c>
      <c r="H33" s="69" t="s">
        <v>72</v>
      </c>
      <c r="I33" s="70" t="s">
        <v>73</v>
      </c>
      <c r="J33" s="69" t="s">
        <v>74</v>
      </c>
      <c r="K33" s="71"/>
      <c r="L33" s="72">
        <v>2019</v>
      </c>
      <c r="M33" s="72">
        <v>2020</v>
      </c>
      <c r="N33" s="73" t="s">
        <v>75</v>
      </c>
    </row>
    <row r="34" spans="2:14" x14ac:dyDescent="0.2">
      <c r="B34" s="74" t="str">
        <f>$B$47</f>
        <v>AusNet Services</v>
      </c>
      <c r="C34" s="34"/>
      <c r="D34" s="75">
        <f>HLOOKUP($B$33,$F$33:$J$38,2,FALSE)</f>
        <v>2.7779190487684468E-2</v>
      </c>
      <c r="E34" s="34"/>
      <c r="F34" s="349">
        <v>2.7779190487684468E-2</v>
      </c>
      <c r="G34" s="350">
        <v>2.59576697431112E-2</v>
      </c>
      <c r="H34" s="351">
        <v>2.4136148998538064E-2</v>
      </c>
      <c r="I34" s="350">
        <v>2.2314628253964928E-2</v>
      </c>
      <c r="J34" s="351">
        <v>2.0493107509391796E-2</v>
      </c>
      <c r="K34" s="71"/>
      <c r="L34" s="352">
        <v>3.7449298414674703E-2</v>
      </c>
      <c r="M34" s="352">
        <v>3.6258595682746808E-2</v>
      </c>
      <c r="N34" s="353">
        <v>1.1945739705053526E-2</v>
      </c>
    </row>
    <row r="35" spans="2:14" x14ac:dyDescent="0.2">
      <c r="B35" s="74" t="str">
        <f>$B$48</f>
        <v>CitiPower</v>
      </c>
      <c r="C35" s="34"/>
      <c r="D35" s="75">
        <f>HLOOKUP($B$33,$F$33:$J$38,3,FALSE)</f>
        <v>2.6738665770133396E-2</v>
      </c>
      <c r="E35" s="34"/>
      <c r="F35" s="349">
        <v>2.6738665770133396E-2</v>
      </c>
      <c r="G35" s="350">
        <v>2.4903607047524857E-2</v>
      </c>
      <c r="H35" s="351">
        <v>2.3068548324916317E-2</v>
      </c>
      <c r="I35" s="350">
        <v>2.1233489602307642E-2</v>
      </c>
      <c r="J35" s="351">
        <v>1.9398430879698968E-2</v>
      </c>
      <c r="K35" s="71"/>
      <c r="L35" s="352">
        <v>3.5080474747029383E-2</v>
      </c>
      <c r="M35" s="352">
        <v>3.3621044143256104E-2</v>
      </c>
      <c r="N35" s="353">
        <v>1.1565991129334563E-2</v>
      </c>
    </row>
    <row r="36" spans="2:14" x14ac:dyDescent="0.2">
      <c r="B36" s="74" t="str">
        <f>$B$49</f>
        <v>Jemena</v>
      </c>
      <c r="C36" s="34"/>
      <c r="D36" s="75">
        <f>HLOOKUP($B$33,$F$33:$J$38,4,FALSE)</f>
        <v>2.8504498758880059E-2</v>
      </c>
      <c r="E36" s="34"/>
      <c r="F36" s="349">
        <v>2.8504498758880059E-2</v>
      </c>
      <c r="G36" s="350">
        <v>2.6413525074088631E-2</v>
      </c>
      <c r="H36" s="351">
        <v>2.4322551389297196E-2</v>
      </c>
      <c r="I36" s="350">
        <v>2.2231577704505769E-2</v>
      </c>
      <c r="J36" s="351">
        <v>2.0140604019714337E-2</v>
      </c>
      <c r="K36" s="71"/>
      <c r="L36" s="352">
        <v>3.7669116070430331E-2</v>
      </c>
      <c r="M36" s="352">
        <v>3.6561951019833616E-2</v>
      </c>
      <c r="N36" s="353">
        <v>1.2022316999911542E-2</v>
      </c>
    </row>
    <row r="37" spans="2:14" x14ac:dyDescent="0.2">
      <c r="B37" s="74" t="str">
        <f>$B$50</f>
        <v>Powercor</v>
      </c>
      <c r="C37" s="34"/>
      <c r="D37" s="75">
        <f>HLOOKUP($B$33,$F$33:$J$38,5,FALSE)</f>
        <v>2.6738665770133396E-2</v>
      </c>
      <c r="E37" s="34"/>
      <c r="F37" s="349">
        <v>2.6738665770133396E-2</v>
      </c>
      <c r="G37" s="350">
        <v>2.4903607047524857E-2</v>
      </c>
      <c r="H37" s="351">
        <v>2.3068548324916317E-2</v>
      </c>
      <c r="I37" s="350">
        <v>2.1233489602307642E-2</v>
      </c>
      <c r="J37" s="351">
        <v>1.9398430879698968E-2</v>
      </c>
      <c r="K37" s="71"/>
      <c r="L37" s="352">
        <v>3.5080474747029383E-2</v>
      </c>
      <c r="M37" s="352">
        <v>3.3621044143256104E-2</v>
      </c>
      <c r="N37" s="353">
        <v>1.1565991129334563E-2</v>
      </c>
    </row>
    <row r="38" spans="2:14" x14ac:dyDescent="0.2">
      <c r="B38" s="74" t="str">
        <f>$B$51</f>
        <v>United Energy</v>
      </c>
      <c r="C38" s="34"/>
      <c r="D38" s="75">
        <f>HLOOKUP($B$33,$F$33:$J$38,6,FALSE)</f>
        <v>2.7065292365717621E-2</v>
      </c>
      <c r="E38" s="34"/>
      <c r="F38" s="349">
        <v>2.7065292365717621E-2</v>
      </c>
      <c r="G38" s="350">
        <v>2.5162393825536089E-2</v>
      </c>
      <c r="H38" s="351">
        <v>2.3259495285354558E-2</v>
      </c>
      <c r="I38" s="350">
        <v>2.1356596745173165E-2</v>
      </c>
      <c r="J38" s="351">
        <v>1.9453698204991633E-2</v>
      </c>
      <c r="K38" s="71"/>
      <c r="L38" s="352">
        <v>3.7516149645275165E-2</v>
      </c>
      <c r="M38" s="352">
        <v>3.6002053810034157E-2</v>
      </c>
      <c r="N38" s="353">
        <v>1.1743753013586388E-2</v>
      </c>
    </row>
    <row r="39" spans="2:14" x14ac:dyDescent="0.2">
      <c r="B39" s="74"/>
      <c r="C39" s="34"/>
      <c r="D39" s="75"/>
      <c r="E39" s="34"/>
      <c r="F39" s="76"/>
      <c r="G39" s="77"/>
      <c r="H39" s="78"/>
      <c r="I39" s="77"/>
      <c r="J39" s="78"/>
      <c r="K39" s="71"/>
      <c r="L39" s="71"/>
      <c r="M39" s="71"/>
      <c r="N39" s="79"/>
    </row>
    <row r="40" spans="2:14" ht="13.5" thickBot="1" x14ac:dyDescent="0.25">
      <c r="B40" s="371" t="str">
        <f>"rvw (t) "&amp;E$7</f>
        <v>rvw (t) 2021/22</v>
      </c>
      <c r="C40" s="372"/>
      <c r="D40" s="373">
        <f>VLOOKUP(E$3,B34:D38,3,FALSE)</f>
        <v>2.7779190487684468E-2</v>
      </c>
      <c r="E40" s="52" t="s">
        <v>69</v>
      </c>
      <c r="F40" s="369">
        <f>VLOOKUP($E$3,$B$34:$J$38,5,FALSE)</f>
        <v>2.7779190487684468E-2</v>
      </c>
      <c r="G40" s="370">
        <f>VLOOKUP($E$3,$B34:$J$38,6,FALSE)</f>
        <v>2.59576697431112E-2</v>
      </c>
      <c r="H40" s="366">
        <f>VLOOKUP($E$3,$B$34:$J$38,7,FALSE)</f>
        <v>2.4136148998538064E-2</v>
      </c>
      <c r="I40" s="370">
        <f>VLOOKUP($E$3,$B$34:$J$38,8,FALSE)</f>
        <v>2.2314628253964928E-2</v>
      </c>
      <c r="J40" s="366">
        <f>VLOOKUP($E$3,$B$34:$J$38,9,FALSE)</f>
        <v>2.0493107509391796E-2</v>
      </c>
      <c r="K40" s="80"/>
      <c r="L40" s="366">
        <f>VLOOKUP($E$3,$B$34:$N$38,11,FALSE)</f>
        <v>3.7449298414674703E-2</v>
      </c>
      <c r="M40" s="366">
        <f>VLOOKUP($E$3,$B$34:$N$38,12,FALSE)</f>
        <v>3.6258595682746808E-2</v>
      </c>
      <c r="N40" s="367">
        <f>VLOOKUP($E$3,$B$34:$N$38,13,FALSE)</f>
        <v>1.1945739705053526E-2</v>
      </c>
    </row>
    <row r="41" spans="2:14" x14ac:dyDescent="0.2">
      <c r="B41" s="374" t="str">
        <f>"rvw for "&amp;E$8</f>
        <v>rvw for HY21</v>
      </c>
      <c r="C41" s="375"/>
      <c r="D41" s="376">
        <f>HLOOKUP($E8,F$33:N$40,8,FALSE)</f>
        <v>1.1945739705053526E-2</v>
      </c>
      <c r="E41" s="81" t="s">
        <v>68</v>
      </c>
    </row>
    <row r="42" spans="2:14" x14ac:dyDescent="0.2">
      <c r="B42" s="374" t="str">
        <f>"rvw for "&amp;E$9</f>
        <v>rvw for 2020</v>
      </c>
      <c r="C42" s="375"/>
      <c r="D42" s="376">
        <f>HLOOKUP($E9,F$33:N$40,8,FALSE)</f>
        <v>3.6258595682746808E-2</v>
      </c>
      <c r="E42" s="81" t="s">
        <v>67</v>
      </c>
    </row>
    <row r="43" spans="2:14" ht="13.5" thickBot="1" x14ac:dyDescent="0.25">
      <c r="B43" s="377" t="str">
        <f>"rvw for "&amp;E$10</f>
        <v>rvw for 2019</v>
      </c>
      <c r="C43" s="378"/>
      <c r="D43" s="379">
        <f>HLOOKUP($E10,F$33:N$40,8,FALSE)</f>
        <v>3.7449298414674703E-2</v>
      </c>
      <c r="E43" s="81" t="s">
        <v>66</v>
      </c>
    </row>
    <row r="45" spans="2:14" ht="13.5" thickBot="1" x14ac:dyDescent="0.25">
      <c r="B45" s="82" t="s">
        <v>81</v>
      </c>
      <c r="C45" s="82"/>
    </row>
    <row r="46" spans="2:14" x14ac:dyDescent="0.2">
      <c r="B46" s="83" t="str">
        <f>E7</f>
        <v>2021/22</v>
      </c>
      <c r="C46" s="84"/>
      <c r="D46" s="85"/>
      <c r="F46" s="86" t="s">
        <v>38</v>
      </c>
      <c r="G46" s="87" t="s">
        <v>71</v>
      </c>
      <c r="H46" s="87" t="s">
        <v>72</v>
      </c>
      <c r="I46" s="87" t="s">
        <v>73</v>
      </c>
      <c r="J46" s="88" t="s">
        <v>74</v>
      </c>
    </row>
    <row r="47" spans="2:14" x14ac:dyDescent="0.2">
      <c r="B47" s="74" t="s">
        <v>79</v>
      </c>
      <c r="C47" s="34"/>
      <c r="D47" s="89" t="str">
        <f>IF(E$7="2021/22","n/a",HLOOKUP(B46,F46:J52,2,FALSE))</f>
        <v>n/a</v>
      </c>
      <c r="F47" s="354">
        <v>56923030.999930821</v>
      </c>
      <c r="G47" s="351">
        <v>-7.4999999999999997E-3</v>
      </c>
      <c r="H47" s="351">
        <v>-7.4999999999999997E-3</v>
      </c>
      <c r="I47" s="351">
        <v>-7.4999999999999997E-3</v>
      </c>
      <c r="J47" s="355">
        <v>-7.4999999999999997E-3</v>
      </c>
      <c r="L47" s="90"/>
    </row>
    <row r="48" spans="2:14" x14ac:dyDescent="0.2">
      <c r="B48" s="74" t="s">
        <v>77</v>
      </c>
      <c r="C48" s="34"/>
      <c r="D48" s="89" t="str">
        <f>IF(E$7="2021/22","n/a",HLOOKUP(B46,F46:J51,2,FALSE))</f>
        <v>n/a</v>
      </c>
      <c r="F48" s="354">
        <v>20053064.183585506</v>
      </c>
      <c r="G48" s="351">
        <v>-7.4999999999999997E-3</v>
      </c>
      <c r="H48" s="351">
        <v>-7.4999999999999997E-3</v>
      </c>
      <c r="I48" s="351">
        <v>-7.4999999999999997E-3</v>
      </c>
      <c r="J48" s="355">
        <v>-7.4999999999999997E-3</v>
      </c>
      <c r="L48" s="95"/>
    </row>
    <row r="49" spans="2:14" x14ac:dyDescent="0.2">
      <c r="B49" s="74" t="s">
        <v>76</v>
      </c>
      <c r="C49" s="34"/>
      <c r="D49" s="89" t="str">
        <f>IF(E$7="2021/22","n/a",HLOOKUP(B46,F46:J51,2,FALSE))</f>
        <v>n/a</v>
      </c>
      <c r="F49" s="354">
        <v>21500744.897372335</v>
      </c>
      <c r="G49" s="351">
        <v>-7.4999999999999997E-3</v>
      </c>
      <c r="H49" s="351">
        <v>-7.4999999999999997E-3</v>
      </c>
      <c r="I49" s="351">
        <v>-7.4999999999999997E-3</v>
      </c>
      <c r="J49" s="355">
        <v>-7.4999999999999997E-3</v>
      </c>
      <c r="L49" s="96"/>
    </row>
    <row r="50" spans="2:14" x14ac:dyDescent="0.2">
      <c r="B50" s="91" t="s">
        <v>78</v>
      </c>
      <c r="C50" s="92"/>
      <c r="D50" s="89" t="str">
        <f>IF(E$7="2021/22","n/a",HLOOKUP(B46,F46:J51,2,FALSE))</f>
        <v>n/a</v>
      </c>
      <c r="F50" s="354">
        <v>52692306.350693889</v>
      </c>
      <c r="G50" s="351">
        <v>-7.4999999999999997E-3</v>
      </c>
      <c r="H50" s="351">
        <v>-7.4999999999999997E-3</v>
      </c>
      <c r="I50" s="351">
        <v>-7.4999999999999997E-3</v>
      </c>
      <c r="J50" s="355">
        <v>-7.4999999999999997E-3</v>
      </c>
      <c r="L50" s="90"/>
      <c r="N50" s="90"/>
    </row>
    <row r="51" spans="2:14" x14ac:dyDescent="0.2">
      <c r="B51" s="74" t="s">
        <v>80</v>
      </c>
      <c r="C51" s="34"/>
      <c r="D51" s="89" t="str">
        <f>IF(E$7="2021/22","n/a",HLOOKUP(B46,F46:J51,2,FALSE))</f>
        <v>n/a</v>
      </c>
      <c r="F51" s="354">
        <v>29383833.672749095</v>
      </c>
      <c r="G51" s="351">
        <v>-7.4999999999999997E-3</v>
      </c>
      <c r="H51" s="351">
        <v>-7.4999999999999997E-3</v>
      </c>
      <c r="I51" s="351">
        <v>-7.4999999999999997E-3</v>
      </c>
      <c r="J51" s="355">
        <v>-7.4999999999999997E-3</v>
      </c>
      <c r="K51" s="90"/>
      <c r="N51" s="90"/>
    </row>
    <row r="52" spans="2:14" x14ac:dyDescent="0.2">
      <c r="B52" s="74"/>
      <c r="C52" s="34"/>
      <c r="D52" s="75"/>
      <c r="F52" s="94"/>
      <c r="G52" s="71"/>
      <c r="H52" s="71"/>
      <c r="I52" s="71"/>
      <c r="J52" s="79"/>
    </row>
    <row r="53" spans="2:14" ht="13.5" thickBot="1" x14ac:dyDescent="0.25">
      <c r="B53" s="363" t="str">
        <f>"Xt for "&amp;E$7</f>
        <v>Xt for 2021/22</v>
      </c>
      <c r="C53" s="364"/>
      <c r="D53" s="368" t="str">
        <f>VLOOKUP(E$3,B47:D51,3,FALSE)</f>
        <v>n/a</v>
      </c>
      <c r="F53" s="359">
        <f>VLOOKUP($E$3,$B$47:$J$51,5,FALSE)</f>
        <v>56923030.999930821</v>
      </c>
      <c r="G53" s="366">
        <f>VLOOKUP($E$3,$B$47:$J$51,6,FALSE)</f>
        <v>-7.4999999999999997E-3</v>
      </c>
      <c r="H53" s="366">
        <f>VLOOKUP($E$3,$B$47:$J$51,7,FALSE)</f>
        <v>-7.4999999999999997E-3</v>
      </c>
      <c r="I53" s="366">
        <f>VLOOKUP($E$3,$B$47:$J$51,8,FALSE)</f>
        <v>-7.4999999999999997E-3</v>
      </c>
      <c r="J53" s="367">
        <f>VLOOKUP($E$3,$B$47:$J$51,9,FALSE)</f>
        <v>-7.4999999999999997E-3</v>
      </c>
    </row>
    <row r="55" spans="2:14" ht="13.5" thickBot="1" x14ac:dyDescent="0.25">
      <c r="B55" s="82" t="s">
        <v>83</v>
      </c>
      <c r="C55" s="82"/>
      <c r="F55" s="93"/>
    </row>
    <row r="56" spans="2:14" x14ac:dyDescent="0.2">
      <c r="B56" s="97" t="s">
        <v>82</v>
      </c>
      <c r="C56" s="98"/>
      <c r="D56" s="61" t="str">
        <f>$E$7</f>
        <v>2021/22</v>
      </c>
      <c r="E56" s="99"/>
      <c r="F56" s="86" t="s">
        <v>38</v>
      </c>
      <c r="G56" s="87" t="s">
        <v>71</v>
      </c>
      <c r="H56" s="87" t="s">
        <v>72</v>
      </c>
      <c r="I56" s="87" t="s">
        <v>73</v>
      </c>
      <c r="J56" s="88" t="s">
        <v>74</v>
      </c>
      <c r="M56" s="386" t="s">
        <v>171</v>
      </c>
      <c r="N56" s="387" t="s">
        <v>75</v>
      </c>
    </row>
    <row r="57" spans="2:14" x14ac:dyDescent="0.2">
      <c r="B57" s="74" t="str">
        <f>$B$47</f>
        <v>AusNet Services</v>
      </c>
      <c r="C57" s="34"/>
      <c r="D57" s="100">
        <f>HLOOKUP($D$56,$F$56:$J$61,2,FALSE)</f>
        <v>-15261.177117992653</v>
      </c>
      <c r="E57" s="99"/>
      <c r="F57" s="356">
        <f>0+(N57*((1+((1+F34)*(1+$H$19)-1))^0.5))</f>
        <v>-15261.177117992653</v>
      </c>
      <c r="G57" s="357">
        <v>0</v>
      </c>
      <c r="H57" s="357">
        <v>0</v>
      </c>
      <c r="I57" s="357">
        <v>0</v>
      </c>
      <c r="J57" s="358">
        <v>0</v>
      </c>
      <c r="M57" s="74" t="str">
        <f>B57</f>
        <v>AusNet Services</v>
      </c>
      <c r="N57" s="389">
        <v>-14989.162944740287</v>
      </c>
    </row>
    <row r="58" spans="2:14" x14ac:dyDescent="0.2">
      <c r="B58" s="74" t="str">
        <f>$B$48</f>
        <v>CitiPower</v>
      </c>
      <c r="C58" s="34"/>
      <c r="D58" s="100">
        <f>HLOOKUP($D$56,$F$56:$J$61,3,FALSE)</f>
        <v>-16753.938897553267</v>
      </c>
      <c r="E58" s="99"/>
      <c r="F58" s="356">
        <f>0+(N58*((1+((1+F35)*(1+$H$19)-1))^0.5))</f>
        <v>-16753.938897553267</v>
      </c>
      <c r="G58" s="357">
        <v>0</v>
      </c>
      <c r="H58" s="357">
        <v>0</v>
      </c>
      <c r="I58" s="357">
        <v>0</v>
      </c>
      <c r="J58" s="358">
        <v>0</v>
      </c>
      <c r="M58" s="74" t="str">
        <f>B58</f>
        <v>CitiPower</v>
      </c>
      <c r="N58" s="358">
        <v>-16463.653861320538</v>
      </c>
    </row>
    <row r="59" spans="2:14" x14ac:dyDescent="0.2">
      <c r="B59" s="74" t="str">
        <f>$B$49</f>
        <v>Jemena</v>
      </c>
      <c r="C59" s="34"/>
      <c r="D59" s="100">
        <f>HLOOKUP($D$56,$F$56:$J$61,4,FALSE)</f>
        <v>-8789.1868051075035</v>
      </c>
      <c r="E59" s="99"/>
      <c r="F59" s="356">
        <f t="shared" ref="F59:F61" si="2">0+(N59*((1+((1+F36)*(1+$H$19)-1))^0.5))</f>
        <v>-8789.1868051075035</v>
      </c>
      <c r="G59" s="357">
        <v>0</v>
      </c>
      <c r="H59" s="357">
        <v>0</v>
      </c>
      <c r="I59" s="357">
        <v>0</v>
      </c>
      <c r="J59" s="358">
        <v>0</v>
      </c>
      <c r="M59" s="74" t="str">
        <f>B59</f>
        <v>Jemena</v>
      </c>
      <c r="N59" s="358">
        <v>-8629.4845473986461</v>
      </c>
    </row>
    <row r="60" spans="2:14" x14ac:dyDescent="0.2">
      <c r="B60" s="74" t="str">
        <f>$B$50</f>
        <v>Powercor</v>
      </c>
      <c r="C60" s="92"/>
      <c r="D60" s="100">
        <f>HLOOKUP($D$56,$F$56:$J$61,5,FALSE)</f>
        <v>-49101.711564393881</v>
      </c>
      <c r="E60" s="99"/>
      <c r="F60" s="356">
        <f t="shared" si="2"/>
        <v>-49101.711564393881</v>
      </c>
      <c r="G60" s="357">
        <v>0</v>
      </c>
      <c r="H60" s="357">
        <v>0</v>
      </c>
      <c r="I60" s="357">
        <v>0</v>
      </c>
      <c r="J60" s="358">
        <v>0</v>
      </c>
      <c r="M60" s="74" t="str">
        <f>B60</f>
        <v>Powercor</v>
      </c>
      <c r="N60" s="358">
        <v>-48250.95687275294</v>
      </c>
    </row>
    <row r="61" spans="2:14" ht="13.5" thickBot="1" x14ac:dyDescent="0.25">
      <c r="B61" s="74" t="str">
        <f>$B$51</f>
        <v>United Energy</v>
      </c>
      <c r="C61" s="34"/>
      <c r="D61" s="100">
        <f>HLOOKUP($D$56,$F$56:$J$61,6,FALSE)</f>
        <v>-28264.373121036744</v>
      </c>
      <c r="E61" s="99"/>
      <c r="F61" s="356">
        <f t="shared" si="2"/>
        <v>-28264.373121036744</v>
      </c>
      <c r="G61" s="357">
        <v>0</v>
      </c>
      <c r="H61" s="357">
        <v>0</v>
      </c>
      <c r="I61" s="357">
        <v>0</v>
      </c>
      <c r="J61" s="358">
        <v>0</v>
      </c>
      <c r="M61" s="388" t="str">
        <f>B61</f>
        <v>United Energy</v>
      </c>
      <c r="N61" s="390">
        <v>-27770.237190093638</v>
      </c>
    </row>
    <row r="62" spans="2:14" x14ac:dyDescent="0.2">
      <c r="B62" s="74"/>
      <c r="C62" s="34"/>
      <c r="D62" s="102"/>
      <c r="E62" s="99"/>
      <c r="F62" s="76"/>
      <c r="G62" s="78"/>
      <c r="H62" s="78"/>
      <c r="I62" s="78"/>
      <c r="J62" s="103"/>
    </row>
    <row r="63" spans="2:14" ht="13.5" thickBot="1" x14ac:dyDescent="0.25">
      <c r="B63" s="363" t="str">
        <f>"Pass through amounts (t) "&amp;E$7</f>
        <v>Pass through amounts (t) 2021/22</v>
      </c>
      <c r="C63" s="364"/>
      <c r="D63" s="362">
        <f>VLOOKUP(E$3,B57:D61,3,FALSE)</f>
        <v>-15261.177117992653</v>
      </c>
      <c r="E63" s="99"/>
      <c r="F63" s="359">
        <f>VLOOKUP($E$3,$B$57:$J$61,5,FALSE)</f>
        <v>-15261.177117992653</v>
      </c>
      <c r="G63" s="360">
        <f>VLOOKUP($E$3,$B$57:$J$61,6,FALSE)</f>
        <v>0</v>
      </c>
      <c r="H63" s="360">
        <f>VLOOKUP($E$3,$B$57:$J$61,7,FALSE)</f>
        <v>0</v>
      </c>
      <c r="I63" s="360">
        <f>VLOOKUP($E$3,$B$57:$J$61,8,FALSE)</f>
        <v>0</v>
      </c>
      <c r="J63" s="361">
        <f>VLOOKUP($E$3,$B$57:$J$61,9,FALSE)</f>
        <v>0</v>
      </c>
    </row>
    <row r="65" spans="2:14" ht="13.5" thickBot="1" x14ac:dyDescent="0.25">
      <c r="B65" s="82" t="s">
        <v>84</v>
      </c>
      <c r="C65" s="82"/>
      <c r="F65" s="93"/>
    </row>
    <row r="66" spans="2:14" x14ac:dyDescent="0.2">
      <c r="B66" s="97" t="s">
        <v>85</v>
      </c>
      <c r="C66" s="84">
        <f>E10</f>
        <v>2019</v>
      </c>
      <c r="D66" s="84">
        <f>E9</f>
        <v>2020</v>
      </c>
      <c r="E66" s="104" t="str">
        <f>E8</f>
        <v>HY21</v>
      </c>
      <c r="F66" s="86" t="s">
        <v>38</v>
      </c>
      <c r="G66" s="87" t="s">
        <v>71</v>
      </c>
      <c r="H66" s="87" t="s">
        <v>72</v>
      </c>
      <c r="I66" s="87" t="s">
        <v>73</v>
      </c>
      <c r="J66" s="87" t="s">
        <v>74</v>
      </c>
      <c r="K66" s="62"/>
      <c r="L66" s="87">
        <v>2019</v>
      </c>
      <c r="M66" s="87">
        <v>2020</v>
      </c>
      <c r="N66" s="88" t="s">
        <v>75</v>
      </c>
    </row>
    <row r="67" spans="2:14" x14ac:dyDescent="0.2">
      <c r="B67" s="74" t="str">
        <f>$B$47</f>
        <v>AusNet Services</v>
      </c>
      <c r="C67" s="100">
        <f>HLOOKUP($C$66,$F$66:$N$71,2,FALSE)</f>
        <v>49056389.446037047</v>
      </c>
      <c r="D67" s="100">
        <f>HLOOKUP($D$66,$F$66:$N$71,2,FALSE)</f>
        <v>45221401.90122664</v>
      </c>
      <c r="E67" s="105">
        <f>HLOOKUP($E$66,$F$66:$N$71,2,FALSE)</f>
        <v>26605535.858153801</v>
      </c>
      <c r="F67" s="356">
        <v>0</v>
      </c>
      <c r="G67" s="357">
        <v>0</v>
      </c>
      <c r="H67" s="357">
        <v>0</v>
      </c>
      <c r="I67" s="357">
        <v>0</v>
      </c>
      <c r="J67" s="357">
        <v>0</v>
      </c>
      <c r="K67" s="106"/>
      <c r="L67" s="357">
        <v>49056389.446037047</v>
      </c>
      <c r="M67" s="357">
        <v>45221401.90122664</v>
      </c>
      <c r="N67" s="358">
        <v>26605535.858153801</v>
      </c>
    </row>
    <row r="68" spans="2:14" x14ac:dyDescent="0.2">
      <c r="B68" s="74" t="str">
        <f>$B$48</f>
        <v>CitiPower</v>
      </c>
      <c r="C68" s="100">
        <f>HLOOKUP($C$66,$F$66:$N$71,3,FALSE)</f>
        <v>25331292.739726018</v>
      </c>
      <c r="D68" s="100">
        <f>HLOOKUP($D$66,$F$66:$N$71,3,FALSE)</f>
        <v>23683686.436046377</v>
      </c>
      <c r="E68" s="105">
        <f>HLOOKUP($E$66,$F$66:$N$71,3,FALSE)</f>
        <v>11220665.697021</v>
      </c>
      <c r="F68" s="356">
        <v>0</v>
      </c>
      <c r="G68" s="357">
        <v>0</v>
      </c>
      <c r="H68" s="357">
        <v>0</v>
      </c>
      <c r="I68" s="357">
        <v>0</v>
      </c>
      <c r="J68" s="357">
        <v>0</v>
      </c>
      <c r="K68" s="106"/>
      <c r="L68" s="357">
        <v>25331292.739726018</v>
      </c>
      <c r="M68" s="357">
        <v>23683686.436046377</v>
      </c>
      <c r="N68" s="358">
        <v>11220665.697021</v>
      </c>
    </row>
    <row r="69" spans="2:14" x14ac:dyDescent="0.2">
      <c r="B69" s="74" t="str">
        <f>$B$49</f>
        <v>Jemena</v>
      </c>
      <c r="C69" s="100">
        <f>HLOOKUP($C$66,$F$66:$N$71,4,FALSE)</f>
        <v>28416295.881440524</v>
      </c>
      <c r="D69" s="100">
        <f>HLOOKUP($D$66,$F$66:$N$71,4,FALSE)</f>
        <v>29163209.077574037</v>
      </c>
      <c r="E69" s="105">
        <f>HLOOKUP($E$66,$F$66:$N$71,4,FALSE)</f>
        <v>12369741.240501184</v>
      </c>
      <c r="F69" s="356">
        <v>0</v>
      </c>
      <c r="G69" s="357">
        <v>0</v>
      </c>
      <c r="H69" s="357">
        <v>0</v>
      </c>
      <c r="I69" s="357">
        <v>0</v>
      </c>
      <c r="J69" s="357">
        <v>0</v>
      </c>
      <c r="K69" s="106"/>
      <c r="L69" s="357">
        <v>28416295.881440524</v>
      </c>
      <c r="M69" s="357">
        <v>29163209.077574037</v>
      </c>
      <c r="N69" s="358">
        <v>12369741.240501184</v>
      </c>
    </row>
    <row r="70" spans="2:14" x14ac:dyDescent="0.2">
      <c r="B70" s="74" t="str">
        <f>$B$50</f>
        <v>Powercor</v>
      </c>
      <c r="C70" s="100">
        <f>HLOOKUP($C$66,$F$66:$N$71,5,FALSE)</f>
        <v>62235540.669663809</v>
      </c>
      <c r="D70" s="100">
        <f>HLOOKUP($D$66,$F$66:$N$71,5,FALSE)</f>
        <v>57830517.522994295</v>
      </c>
      <c r="E70" s="105">
        <f>HLOOKUP($E$66,$F$66:$N$71,5,FALSE)</f>
        <v>28354696.824880101</v>
      </c>
      <c r="F70" s="356">
        <v>0</v>
      </c>
      <c r="G70" s="357">
        <v>0</v>
      </c>
      <c r="H70" s="357">
        <v>0</v>
      </c>
      <c r="I70" s="357">
        <v>0</v>
      </c>
      <c r="J70" s="357">
        <v>0</v>
      </c>
      <c r="K70" s="106"/>
      <c r="L70" s="357">
        <v>62235540.669663809</v>
      </c>
      <c r="M70" s="357">
        <v>57830517.522994295</v>
      </c>
      <c r="N70" s="358">
        <v>28354696.824880101</v>
      </c>
    </row>
    <row r="71" spans="2:14" x14ac:dyDescent="0.2">
      <c r="B71" s="74" t="str">
        <f>$B$51</f>
        <v>United Energy</v>
      </c>
      <c r="C71" s="100">
        <f>HLOOKUP($C$66,$F$66:$N$71,6,FALSE)</f>
        <v>40463426.300492376</v>
      </c>
      <c r="D71" s="100">
        <f>HLOOKUP($D$66,$F$66:$N$71,6,FALSE)</f>
        <v>38650496.298844054</v>
      </c>
      <c r="E71" s="105">
        <f>HLOOKUP($E$66,$F$66:$N$71,6,FALSE)</f>
        <v>17580625.249352798</v>
      </c>
      <c r="F71" s="356">
        <v>0</v>
      </c>
      <c r="G71" s="357">
        <v>0</v>
      </c>
      <c r="H71" s="357">
        <v>0</v>
      </c>
      <c r="I71" s="357">
        <v>0</v>
      </c>
      <c r="J71" s="357">
        <v>0</v>
      </c>
      <c r="K71" s="106"/>
      <c r="L71" s="357">
        <v>40463426.300492376</v>
      </c>
      <c r="M71" s="357">
        <v>38650496.298844054</v>
      </c>
      <c r="N71" s="358">
        <v>17580625.249352798</v>
      </c>
    </row>
    <row r="72" spans="2:14" x14ac:dyDescent="0.2">
      <c r="B72" s="74"/>
      <c r="C72" s="102"/>
      <c r="D72" s="102"/>
      <c r="E72" s="107"/>
      <c r="F72" s="76"/>
      <c r="G72" s="78"/>
      <c r="H72" s="78"/>
      <c r="I72" s="78"/>
      <c r="J72" s="78"/>
      <c r="K72" s="71"/>
      <c r="L72" s="78"/>
      <c r="M72" s="78"/>
      <c r="N72" s="103"/>
    </row>
    <row r="73" spans="2:14" ht="13.5" thickBot="1" x14ac:dyDescent="0.25">
      <c r="B73" s="363" t="str">
        <f>"TARM for "&amp;C66&amp;" - "&amp;E66</f>
        <v>TARM for 2019 - HY21</v>
      </c>
      <c r="C73" s="362">
        <f>VLOOKUP(E$3,B67:C71,2,FALSE)</f>
        <v>49056389.446037047</v>
      </c>
      <c r="D73" s="362">
        <f>VLOOKUP(E$3,B67:D71,3,FALSE)</f>
        <v>45221401.90122664</v>
      </c>
      <c r="E73" s="365">
        <f>VLOOKUP(E$3,B67:E71,4,FALSE)</f>
        <v>26605535.858153801</v>
      </c>
      <c r="F73" s="359">
        <f>VLOOKUP($E$3,$B$67:$N$71,5,FALSE)</f>
        <v>0</v>
      </c>
      <c r="G73" s="360">
        <f>VLOOKUP($E$3,$B$67:$N$71,6,FALSE)</f>
        <v>0</v>
      </c>
      <c r="H73" s="360">
        <f>VLOOKUP($E$3,$B$67:$N$71,7,FALSE)</f>
        <v>0</v>
      </c>
      <c r="I73" s="360">
        <f>VLOOKUP($E$3,$B$67:$N$71,8,FALSE)</f>
        <v>0</v>
      </c>
      <c r="J73" s="360">
        <f>VLOOKUP($E$3,$B$67:$N$71,9,FALSE)</f>
        <v>0</v>
      </c>
      <c r="K73" s="108"/>
      <c r="L73" s="360">
        <f>VLOOKUP($E$3,$B$67:$N$71,11,FALSE)</f>
        <v>49056389.446037047</v>
      </c>
      <c r="M73" s="360">
        <f>VLOOKUP($E$3,$B$67:$N$71,12,FALSE)</f>
        <v>45221401.90122664</v>
      </c>
      <c r="N73" s="361">
        <f>VLOOKUP($E$3,$B$67:$N$71,13,FALSE)</f>
        <v>26605535.858153801</v>
      </c>
    </row>
    <row r="74" spans="2:14" x14ac:dyDescent="0.2">
      <c r="C74" s="109" t="s">
        <v>40</v>
      </c>
      <c r="D74" s="109" t="s">
        <v>39</v>
      </c>
      <c r="E74" s="109" t="s">
        <v>37</v>
      </c>
    </row>
    <row r="75" spans="2:14" s="110" customFormat="1" ht="13.5" thickBot="1" x14ac:dyDescent="0.25"/>
    <row r="76" spans="2:14" s="110" customFormat="1" x14ac:dyDescent="0.2">
      <c r="B76" s="97" t="s">
        <v>86</v>
      </c>
      <c r="C76" s="98"/>
      <c r="D76" s="61" t="str">
        <f>E8</f>
        <v>HY21</v>
      </c>
      <c r="E76" s="99"/>
      <c r="F76" s="86" t="s">
        <v>38</v>
      </c>
      <c r="G76" s="87" t="s">
        <v>71</v>
      </c>
      <c r="H76" s="87" t="s">
        <v>72</v>
      </c>
      <c r="I76" s="87" t="s">
        <v>73</v>
      </c>
      <c r="J76" s="88" t="s">
        <v>74</v>
      </c>
    </row>
    <row r="77" spans="2:14" s="110" customFormat="1" x14ac:dyDescent="0.2">
      <c r="B77" s="74" t="str">
        <f>$B$47</f>
        <v>AusNet Services</v>
      </c>
      <c r="C77" s="34"/>
      <c r="D77" s="100" t="str">
        <f>IF($E$7=$G$8,"n/a",HLOOKUP($D$76,$F$76:$J$81,2,FALSE))</f>
        <v>n/a</v>
      </c>
      <c r="E77" s="99"/>
      <c r="F77" s="356">
        <v>0</v>
      </c>
      <c r="G77" s="357">
        <v>0</v>
      </c>
      <c r="H77" s="357">
        <v>0</v>
      </c>
      <c r="I77" s="357">
        <v>0</v>
      </c>
      <c r="J77" s="358">
        <v>0</v>
      </c>
    </row>
    <row r="78" spans="2:14" s="110" customFormat="1" x14ac:dyDescent="0.2">
      <c r="B78" s="74" t="str">
        <f>$B$48</f>
        <v>CitiPower</v>
      </c>
      <c r="C78" s="34"/>
      <c r="D78" s="100" t="str">
        <f>IF($E$7=$G$8,"n/a",HLOOKUP($D$76,$F$76:$J$81,3,FALSE))</f>
        <v>n/a</v>
      </c>
      <c r="E78" s="99"/>
      <c r="F78" s="356">
        <v>0</v>
      </c>
      <c r="G78" s="357">
        <v>0</v>
      </c>
      <c r="H78" s="357">
        <v>0</v>
      </c>
      <c r="I78" s="357">
        <v>0</v>
      </c>
      <c r="J78" s="358">
        <v>0</v>
      </c>
    </row>
    <row r="79" spans="2:14" x14ac:dyDescent="0.2">
      <c r="B79" s="74" t="str">
        <f>$B$49</f>
        <v>Jemena</v>
      </c>
      <c r="C79" s="34"/>
      <c r="D79" s="100" t="str">
        <f>IF($E$7=$G$8,"n/a",HLOOKUP($D$76,$F$76:$J$81,4,FALSE))</f>
        <v>n/a</v>
      </c>
      <c r="E79" s="99"/>
      <c r="F79" s="356">
        <v>0</v>
      </c>
      <c r="G79" s="357">
        <v>0</v>
      </c>
      <c r="H79" s="357">
        <v>0</v>
      </c>
      <c r="I79" s="357">
        <v>0</v>
      </c>
      <c r="J79" s="358">
        <v>0</v>
      </c>
    </row>
    <row r="80" spans="2:14" x14ac:dyDescent="0.2">
      <c r="B80" s="74" t="str">
        <f>$B$50</f>
        <v>Powercor</v>
      </c>
      <c r="C80" s="92"/>
      <c r="D80" s="100" t="str">
        <f>IF($E$7=$G$8,"n/a",HLOOKUP($D$76,$F$76:$J$81,5,FALSE))</f>
        <v>n/a</v>
      </c>
      <c r="E80" s="99"/>
      <c r="F80" s="356">
        <v>0</v>
      </c>
      <c r="G80" s="357">
        <v>0</v>
      </c>
      <c r="H80" s="357">
        <v>0</v>
      </c>
      <c r="I80" s="357">
        <v>0</v>
      </c>
      <c r="J80" s="358">
        <v>0</v>
      </c>
    </row>
    <row r="81" spans="2:10" x14ac:dyDescent="0.2">
      <c r="B81" s="74" t="str">
        <f>$B$51</f>
        <v>United Energy</v>
      </c>
      <c r="C81" s="34"/>
      <c r="D81" s="100" t="str">
        <f>IF($E$7=$G$8,"n/a",HLOOKUP($D$76,$F$76:$J$81,6,FALSE))</f>
        <v>n/a</v>
      </c>
      <c r="E81" s="99"/>
      <c r="F81" s="356">
        <v>0</v>
      </c>
      <c r="G81" s="357">
        <v>0</v>
      </c>
      <c r="H81" s="357">
        <v>0</v>
      </c>
      <c r="I81" s="357">
        <v>0</v>
      </c>
      <c r="J81" s="358">
        <v>0</v>
      </c>
    </row>
    <row r="82" spans="2:10" x14ac:dyDescent="0.2">
      <c r="B82" s="74"/>
      <c r="C82" s="34"/>
      <c r="D82" s="102"/>
      <c r="E82" s="99"/>
      <c r="F82" s="76"/>
      <c r="G82" s="78"/>
      <c r="H82" s="78"/>
      <c r="I82" s="78"/>
      <c r="J82" s="103"/>
    </row>
    <row r="83" spans="2:10" ht="13.5" thickBot="1" x14ac:dyDescent="0.25">
      <c r="B83" s="363" t="str">
        <f>"Metering AAR (t-1) "&amp;E8</f>
        <v>Metering AAR (t-1) HY21</v>
      </c>
      <c r="C83" s="364"/>
      <c r="D83" s="362" t="str">
        <f>VLOOKUP(E$3,B77:D81,3,FALSE)</f>
        <v>n/a</v>
      </c>
      <c r="E83" s="99"/>
      <c r="F83" s="359">
        <f>VLOOKUP($E$3,$B$77:$J$81,5,FALSE)</f>
        <v>0</v>
      </c>
      <c r="G83" s="360">
        <f>VLOOKUP($E$3,$B$77:$J$81,6,FALSE)</f>
        <v>0</v>
      </c>
      <c r="H83" s="360">
        <f>VLOOKUP($E$3,$B$77:$J$81,7,FALSE)</f>
        <v>0</v>
      </c>
      <c r="I83" s="360">
        <f>VLOOKUP($E$3,$B$77:$J$81,8,FALSE)</f>
        <v>0</v>
      </c>
      <c r="J83" s="361">
        <f>VLOOKUP($E$3,$B$77:$J$81,9,FALSE)</f>
        <v>0</v>
      </c>
    </row>
    <row r="84" spans="2:10" ht="13.5" thickBot="1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2:10" x14ac:dyDescent="0.2">
      <c r="B85" s="97" t="s">
        <v>87</v>
      </c>
      <c r="C85" s="98"/>
      <c r="D85" s="61" t="str">
        <f>E8</f>
        <v>HY21</v>
      </c>
      <c r="E85" s="99"/>
      <c r="F85" s="86" t="s">
        <v>38</v>
      </c>
      <c r="G85" s="87" t="s">
        <v>71</v>
      </c>
      <c r="H85" s="87" t="s">
        <v>72</v>
      </c>
      <c r="I85" s="87" t="s">
        <v>73</v>
      </c>
      <c r="J85" s="88" t="s">
        <v>74</v>
      </c>
    </row>
    <row r="86" spans="2:10" x14ac:dyDescent="0.2">
      <c r="B86" s="74" t="str">
        <f>$B$47</f>
        <v>AusNet Services</v>
      </c>
      <c r="C86" s="34"/>
      <c r="D86" s="100" t="str">
        <f>IF($E$7=$G$8,"n/a",HLOOKUP($D$85,$F$85:$J$90,2,FALSE))</f>
        <v>n/a</v>
      </c>
      <c r="E86" s="99"/>
      <c r="F86" s="356">
        <v>0</v>
      </c>
      <c r="G86" s="357">
        <v>0</v>
      </c>
      <c r="H86" s="357">
        <v>0</v>
      </c>
      <c r="I86" s="357">
        <v>0</v>
      </c>
      <c r="J86" s="358">
        <v>0</v>
      </c>
    </row>
    <row r="87" spans="2:10" x14ac:dyDescent="0.2">
      <c r="B87" s="74" t="str">
        <f>$B$48</f>
        <v>CitiPower</v>
      </c>
      <c r="C87" s="34"/>
      <c r="D87" s="100" t="str">
        <f>IF($E$7=$G$8,"n/a",HLOOKUP($D$85,$F$85:$J$90,3,FALSE))</f>
        <v>n/a</v>
      </c>
      <c r="E87" s="99"/>
      <c r="F87" s="356">
        <v>0</v>
      </c>
      <c r="G87" s="357">
        <v>0</v>
      </c>
      <c r="H87" s="357">
        <v>0</v>
      </c>
      <c r="I87" s="357">
        <v>0</v>
      </c>
      <c r="J87" s="358">
        <v>0</v>
      </c>
    </row>
    <row r="88" spans="2:10" x14ac:dyDescent="0.2">
      <c r="B88" s="74" t="str">
        <f>$B$49</f>
        <v>Jemena</v>
      </c>
      <c r="C88" s="34"/>
      <c r="D88" s="100" t="str">
        <f>IF($E$7=$G$8,"n/a",HLOOKUP($D$85,$F$85:$J$90,4,FALSE))</f>
        <v>n/a</v>
      </c>
      <c r="E88" s="99"/>
      <c r="F88" s="356">
        <v>0</v>
      </c>
      <c r="G88" s="357">
        <v>0</v>
      </c>
      <c r="H88" s="357">
        <v>0</v>
      </c>
      <c r="I88" s="357">
        <v>0</v>
      </c>
      <c r="J88" s="358">
        <v>0</v>
      </c>
    </row>
    <row r="89" spans="2:10" x14ac:dyDescent="0.2">
      <c r="B89" s="74" t="str">
        <f>$B$50</f>
        <v>Powercor</v>
      </c>
      <c r="C89" s="92"/>
      <c r="D89" s="100" t="str">
        <f>IF($E$7=$G$8,"n/a",HLOOKUP($D$85,$F$85:$J$90,5,FALSE))</f>
        <v>n/a</v>
      </c>
      <c r="E89" s="99"/>
      <c r="F89" s="356">
        <v>0</v>
      </c>
      <c r="G89" s="357">
        <v>0</v>
      </c>
      <c r="H89" s="357">
        <v>0</v>
      </c>
      <c r="I89" s="357">
        <v>0</v>
      </c>
      <c r="J89" s="358">
        <v>0</v>
      </c>
    </row>
    <row r="90" spans="2:10" s="101" customFormat="1" x14ac:dyDescent="0.2">
      <c r="B90" s="74" t="str">
        <f>$B$51</f>
        <v>United Energy</v>
      </c>
      <c r="C90" s="34"/>
      <c r="D90" s="100" t="str">
        <f>IF($E$7=$G$8,"n/a",HLOOKUP($D$85,$F$85:$J$90,6,FALSE))</f>
        <v>n/a</v>
      </c>
      <c r="E90" s="99"/>
      <c r="F90" s="356">
        <v>0</v>
      </c>
      <c r="G90" s="357">
        <v>0</v>
      </c>
      <c r="H90" s="357">
        <v>0</v>
      </c>
      <c r="I90" s="357">
        <v>0</v>
      </c>
      <c r="J90" s="358">
        <v>0</v>
      </c>
    </row>
    <row r="91" spans="2:10" x14ac:dyDescent="0.2">
      <c r="B91" s="74"/>
      <c r="C91" s="34"/>
      <c r="D91" s="102"/>
      <c r="E91" s="99"/>
      <c r="F91" s="76"/>
      <c r="G91" s="78"/>
      <c r="H91" s="78"/>
      <c r="I91" s="78"/>
      <c r="J91" s="103"/>
    </row>
    <row r="92" spans="2:10" ht="13.5" thickBot="1" x14ac:dyDescent="0.25">
      <c r="B92" s="363" t="str">
        <f>"Metering O/U adjustment (t-1) "&amp;E$8</f>
        <v>Metering O/U adjustment (t-1) HY21</v>
      </c>
      <c r="C92" s="364"/>
      <c r="D92" s="362" t="str">
        <f>VLOOKUP(E$3,B86:D90,3,FALSE)</f>
        <v>n/a</v>
      </c>
      <c r="E92" s="99"/>
      <c r="F92" s="359">
        <f>VLOOKUP($E$3,$B$86:$J$90,5,FALSE)</f>
        <v>0</v>
      </c>
      <c r="G92" s="360">
        <f>VLOOKUP($E$3,$B$86:$J$90,6,FALSE)</f>
        <v>0</v>
      </c>
      <c r="H92" s="360">
        <f>VLOOKUP($E$3,$B$86:$J$90,7,FALSE)</f>
        <v>0</v>
      </c>
      <c r="I92" s="360">
        <f>VLOOKUP($E$3,$B$86:$J$90,8,FALSE)</f>
        <v>0</v>
      </c>
      <c r="J92" s="361">
        <f>VLOOKUP($E$3,$B$86:$J$90,9,FALSE)</f>
        <v>0</v>
      </c>
    </row>
    <row r="93" spans="2:10" x14ac:dyDescent="0.2">
      <c r="B93" s="110"/>
      <c r="C93" s="110"/>
      <c r="D93" s="110"/>
      <c r="E93" s="110"/>
      <c r="F93" s="110"/>
      <c r="G93" s="110"/>
      <c r="H93" s="110"/>
      <c r="I93" s="110"/>
      <c r="J93" s="110"/>
    </row>
  </sheetData>
  <mergeCells count="3">
    <mergeCell ref="K16:AB16"/>
    <mergeCell ref="K17:AB17"/>
    <mergeCell ref="K18:AB19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DA9694"/>
  </sheetPr>
  <dimension ref="A1:V96"/>
  <sheetViews>
    <sheetView showGridLines="0" zoomScale="85" zoomScaleNormal="85" workbookViewId="0">
      <pane ySplit="21" topLeftCell="A22" activePane="bottomLeft" state="frozen"/>
      <selection pane="bottomLeft" activeCell="G76" sqref="G76"/>
    </sheetView>
  </sheetViews>
  <sheetFormatPr defaultRowHeight="12.75" x14ac:dyDescent="0.2"/>
  <cols>
    <col min="1" max="1" width="1.85546875" style="262" customWidth="1"/>
    <col min="2" max="2" width="37.28515625" style="262" customWidth="1"/>
    <col min="3" max="3" width="33.42578125" style="262" customWidth="1"/>
    <col min="4" max="4" width="22" style="262" customWidth="1"/>
    <col min="5" max="6" width="20" style="262" customWidth="1"/>
    <col min="7" max="7" width="19.85546875" style="262" customWidth="1"/>
    <col min="8" max="8" width="19.42578125" style="262" customWidth="1"/>
    <col min="9" max="9" width="20.28515625" style="262" customWidth="1"/>
    <col min="10" max="10" width="2.28515625" style="262" customWidth="1"/>
    <col min="11" max="11" width="14.7109375" style="262" customWidth="1"/>
    <col min="12" max="12" width="16.140625" style="262" customWidth="1"/>
    <col min="13" max="13" width="9.140625" style="262"/>
    <col min="14" max="14" width="14.28515625" style="262" bestFit="1" customWidth="1"/>
    <col min="15" max="16384" width="9.140625" style="262"/>
  </cols>
  <sheetData>
    <row r="1" spans="1:19" s="101" customFormat="1" ht="15" x14ac:dyDescent="0.25">
      <c r="A1" s="111"/>
      <c r="B1" s="112" t="str">
        <f>"Tariff Approval - "&amp;Input!E3</f>
        <v>Tariff Approval - AusNet Services</v>
      </c>
      <c r="C1" s="112"/>
      <c r="D1" s="111"/>
      <c r="E1" s="113" t="s">
        <v>88</v>
      </c>
      <c r="F1" s="113" t="s">
        <v>89</v>
      </c>
      <c r="G1" s="111"/>
      <c r="H1" s="111"/>
      <c r="I1" s="112"/>
      <c r="J1" s="111"/>
      <c r="K1" s="111"/>
      <c r="L1" s="111"/>
      <c r="M1" s="114"/>
      <c r="N1" s="114"/>
      <c r="O1" s="114"/>
      <c r="P1" s="114"/>
      <c r="Q1" s="114"/>
      <c r="R1" s="114"/>
    </row>
    <row r="2" spans="1:19" s="101" customFormat="1" ht="13.5" thickBot="1" x14ac:dyDescent="0.25">
      <c r="A2" s="111"/>
      <c r="B2" s="111"/>
      <c r="C2" s="111"/>
      <c r="D2" s="115"/>
      <c r="E2" s="113" t="s">
        <v>90</v>
      </c>
      <c r="F2" s="113" t="s">
        <v>91</v>
      </c>
      <c r="G2" s="111"/>
      <c r="H2" s="115"/>
      <c r="I2" s="111"/>
      <c r="J2" s="111"/>
      <c r="K2" s="111"/>
      <c r="L2" s="111"/>
      <c r="M2" s="114"/>
      <c r="N2" s="114"/>
      <c r="O2" s="114"/>
      <c r="P2" s="114"/>
      <c r="Q2" s="114"/>
      <c r="R2" s="114"/>
    </row>
    <row r="3" spans="1:19" s="101" customFormat="1" ht="13.5" thickBot="1" x14ac:dyDescent="0.25">
      <c r="A3" s="111"/>
      <c r="B3" s="116" t="str">
        <f>"PROPOSED "&amp;Input!$E$7&amp;" METERING TARIFFS AND REVENUE"</f>
        <v>PROPOSED 2021/22 METERING TARIFFS AND REVENUE</v>
      </c>
      <c r="C3" s="116"/>
      <c r="D3" s="117" t="s">
        <v>92</v>
      </c>
      <c r="E3" s="118" t="s">
        <v>90</v>
      </c>
      <c r="F3" s="119" t="s">
        <v>91</v>
      </c>
      <c r="G3" s="111"/>
      <c r="H3" s="120" t="s">
        <v>93</v>
      </c>
      <c r="I3" s="121">
        <f>IF(Input!E5=2024,366,365)</f>
        <v>365</v>
      </c>
      <c r="J3" s="111"/>
      <c r="K3" s="111"/>
      <c r="L3" s="111"/>
      <c r="M3" s="114"/>
      <c r="N3" s="114"/>
      <c r="O3" s="114"/>
      <c r="P3" s="114"/>
      <c r="Q3" s="114"/>
      <c r="R3" s="114"/>
    </row>
    <row r="4" spans="1:19" s="101" customFormat="1" ht="15.75" thickBot="1" x14ac:dyDescent="0.3">
      <c r="A4" s="111"/>
      <c r="B4" s="112"/>
      <c r="C4" s="112"/>
      <c r="D4" s="111"/>
      <c r="E4" s="111"/>
      <c r="F4" s="111"/>
      <c r="G4" s="111"/>
      <c r="H4" s="111"/>
      <c r="I4" s="112"/>
      <c r="J4" s="111"/>
      <c r="K4" s="111"/>
      <c r="L4" s="111"/>
      <c r="M4" s="114"/>
      <c r="N4" s="114"/>
      <c r="O4" s="114"/>
      <c r="P4" s="114"/>
      <c r="Q4" s="114"/>
      <c r="R4" s="114"/>
    </row>
    <row r="5" spans="1:19" s="101" customFormat="1" ht="37.5" customHeight="1" thickBot="1" x14ac:dyDescent="0.25">
      <c r="A5" s="114"/>
      <c r="B5" s="114"/>
      <c r="C5" s="114"/>
      <c r="D5" s="122" t="str">
        <f>"Proposed Metering Tariffs P(t) for " &amp;Input!$E$7</f>
        <v>Proposed Metering Tariffs P(t) for 2021/22</v>
      </c>
      <c r="E5" s="122" t="str">
        <f>"Current Metering Tariffs P(t-1) for " &amp;Input!$E$8</f>
        <v>Current Metering Tariffs P(t-1) for HY21</v>
      </c>
      <c r="F5" s="122" t="str">
        <f>"Forecast Quantities   (Qt) for "&amp;Input!$E$7</f>
        <v>Forecast Quantities   (Qt) for 2021/22</v>
      </c>
      <c r="G5" s="123"/>
      <c r="H5" s="122" t="str">
        <f>"Forecast Revenue (Pt "&amp;Input!$E$7&amp;")*(Qt " &amp;Input!$E$7&amp;")"</f>
        <v>Forecast Revenue (Pt 2021/22)*(Qt 2021/22)</v>
      </c>
      <c r="I5" s="122" t="str">
        <f>"Revenue                    (Pt-1 "&amp;Input!$E$8&amp;")*(Qt " &amp;Input!$E$7&amp;")"</f>
        <v>Revenue                    (Pt-1 HY21)*(Qt 2021/22)</v>
      </c>
      <c r="J5" s="123"/>
      <c r="K5" s="124" t="s">
        <v>94</v>
      </c>
      <c r="L5" s="125" t="s">
        <v>95</v>
      </c>
      <c r="M5" s="114"/>
      <c r="N5" s="114"/>
      <c r="O5" s="114"/>
      <c r="P5" s="114"/>
      <c r="Q5" s="114"/>
      <c r="R5" s="114"/>
    </row>
    <row r="6" spans="1:19" s="101" customFormat="1" x14ac:dyDescent="0.2">
      <c r="A6" s="114"/>
      <c r="B6" s="126" t="s">
        <v>96</v>
      </c>
      <c r="C6" s="127" t="s">
        <v>97</v>
      </c>
      <c r="D6" s="128" t="str">
        <f>E3&amp;"/Cust/"&amp;F3</f>
        <v>$/Cust/year</v>
      </c>
      <c r="E6" s="128" t="str">
        <f>E3&amp;"/Cust/"&amp;F3</f>
        <v>$/Cust/year</v>
      </c>
      <c r="F6" s="128" t="s">
        <v>98</v>
      </c>
      <c r="G6" s="123"/>
      <c r="H6" s="128" t="s">
        <v>99</v>
      </c>
      <c r="I6" s="128" t="s">
        <v>99</v>
      </c>
      <c r="J6" s="123"/>
      <c r="K6" s="129"/>
      <c r="L6" s="129"/>
      <c r="M6" s="114"/>
      <c r="N6" s="114"/>
      <c r="O6" s="114"/>
      <c r="P6" s="114"/>
      <c r="Q6" s="114"/>
      <c r="R6" s="114"/>
    </row>
    <row r="7" spans="1:19" s="101" customFormat="1" x14ac:dyDescent="0.2">
      <c r="A7" s="114"/>
      <c r="B7" s="130"/>
      <c r="C7" s="306"/>
      <c r="D7" s="131"/>
      <c r="E7" s="308"/>
      <c r="F7" s="132"/>
      <c r="G7" s="123"/>
      <c r="H7" s="133">
        <f>IF($E$3="cents",D7/100,D7)*IF($F$3="day",F7*$I$3,F7)</f>
        <v>0</v>
      </c>
      <c r="I7" s="134">
        <f>IF($E$3="cents",E7/100,E7)*IF($F$3="day",F7*$I$3,F7)</f>
        <v>0</v>
      </c>
      <c r="J7" s="123"/>
      <c r="K7" s="135" t="str">
        <f>IFERROR(H7/I7,"")</f>
        <v/>
      </c>
      <c r="L7" s="135" t="str">
        <f>IF(B7="","",IF($D$22=Input!G8,"n/a",IF(K7&lt;$I$31,"COMPLIANT","BREACHED")))</f>
        <v/>
      </c>
      <c r="M7" s="114"/>
      <c r="N7" s="114"/>
      <c r="O7" s="114"/>
      <c r="P7" s="392"/>
      <c r="Q7" s="114"/>
      <c r="R7" s="114"/>
    </row>
    <row r="8" spans="1:19" s="101" customFormat="1" x14ac:dyDescent="0.2">
      <c r="A8" s="114"/>
      <c r="B8" s="130" t="s">
        <v>172</v>
      </c>
      <c r="C8" s="306" t="s">
        <v>172</v>
      </c>
      <c r="D8" s="136">
        <v>63.697857162720602</v>
      </c>
      <c r="E8" s="309">
        <v>29.799999999999997</v>
      </c>
      <c r="F8" s="137">
        <v>413239.69106901647</v>
      </c>
      <c r="G8" s="123"/>
      <c r="H8" s="133">
        <f t="shared" ref="H8:H16" si="0">IF($E$3="cents",D8/100,D8)*IF($F$3="day",F8*$I$3,F8)</f>
        <v>26322482.815680999</v>
      </c>
      <c r="I8" s="133">
        <f t="shared" ref="I8:I16" si="1">IF($E$3="cents",E8/100,E8)*IF($F$3="day",F8*$I$3,F8)</f>
        <v>12314542.79385669</v>
      </c>
      <c r="J8" s="123"/>
      <c r="K8" s="138">
        <f>IFERROR(H8/I8,"")</f>
        <v>2.1375119853261948</v>
      </c>
      <c r="L8" s="139" t="str">
        <f>IF(B8="","",IF($D$22=Input!G8,"n/a",IF(K8&lt;$I$31,"COMPLIANT","BREACHED")))</f>
        <v>n/a</v>
      </c>
      <c r="M8" s="114"/>
      <c r="N8" s="391"/>
      <c r="O8" s="391"/>
      <c r="P8" s="391"/>
      <c r="Q8" s="391"/>
      <c r="R8" s="391"/>
      <c r="S8" s="393"/>
    </row>
    <row r="9" spans="1:19" s="101" customFormat="1" x14ac:dyDescent="0.2">
      <c r="A9" s="114"/>
      <c r="B9" s="130" t="s">
        <v>173</v>
      </c>
      <c r="C9" s="306" t="s">
        <v>173</v>
      </c>
      <c r="D9" s="136">
        <v>74.91979508568312</v>
      </c>
      <c r="E9" s="309">
        <v>35.049999999999997</v>
      </c>
      <c r="F9" s="137">
        <v>234483.43704477558</v>
      </c>
      <c r="G9" s="123"/>
      <c r="H9" s="133">
        <f t="shared" si="0"/>
        <v>17567451.054381266</v>
      </c>
      <c r="I9" s="133">
        <f t="shared" si="1"/>
        <v>8218644.4684193833</v>
      </c>
      <c r="J9" s="123"/>
      <c r="K9" s="138">
        <f t="shared" ref="K9:K16" si="2">IFERROR(H9/I9,"")</f>
        <v>2.1375119853261948</v>
      </c>
      <c r="L9" s="139" t="str">
        <f>IF(B9="","",IF($D$22=Input!G8,"n/a",IF(K9&lt;$I$31,"COMPLIANT","BREACHED")))</f>
        <v>n/a</v>
      </c>
      <c r="M9" s="114"/>
      <c r="N9" s="391"/>
      <c r="O9" s="391"/>
      <c r="P9" s="391"/>
      <c r="Q9" s="391"/>
      <c r="R9" s="391"/>
      <c r="S9" s="393"/>
    </row>
    <row r="10" spans="1:19" s="101" customFormat="1" x14ac:dyDescent="0.2">
      <c r="A10" s="114"/>
      <c r="B10" s="130" t="s">
        <v>174</v>
      </c>
      <c r="C10" s="306" t="s">
        <v>174</v>
      </c>
      <c r="D10" s="136">
        <v>90.245756020471944</v>
      </c>
      <c r="E10" s="309">
        <v>42.22</v>
      </c>
      <c r="F10" s="137">
        <v>70274.587900894301</v>
      </c>
      <c r="G10" s="123"/>
      <c r="H10" s="133">
        <f t="shared" si="0"/>
        <v>6341983.3141433168</v>
      </c>
      <c r="I10" s="133">
        <f t="shared" si="1"/>
        <v>2966993.1011757571</v>
      </c>
      <c r="J10" s="123"/>
      <c r="K10" s="138">
        <f t="shared" si="2"/>
        <v>2.1375119853261952</v>
      </c>
      <c r="L10" s="139" t="str">
        <f>IF(B10="","",IF($D$22=Input!G8,"n/a",IF(K10&lt;$I$31,"COMPLIANT","BREACHED")))</f>
        <v>n/a</v>
      </c>
      <c r="M10" s="114"/>
      <c r="N10" s="391"/>
      <c r="O10" s="391"/>
      <c r="P10" s="391"/>
      <c r="Q10" s="391"/>
      <c r="R10" s="391"/>
      <c r="S10" s="393"/>
    </row>
    <row r="11" spans="1:19" s="101" customFormat="1" x14ac:dyDescent="0.2">
      <c r="A11" s="114"/>
      <c r="B11" s="130" t="s">
        <v>175</v>
      </c>
      <c r="C11" s="306" t="s">
        <v>175</v>
      </c>
      <c r="D11" s="136">
        <v>100.08899871289906</v>
      </c>
      <c r="E11" s="309">
        <v>46.824999999999996</v>
      </c>
      <c r="F11" s="137">
        <v>68078.917814547676</v>
      </c>
      <c r="G11" s="123"/>
      <c r="H11" s="133">
        <f t="shared" si="0"/>
        <v>6813950.7175158225</v>
      </c>
      <c r="I11" s="133">
        <f t="shared" si="1"/>
        <v>3187795.3266661945</v>
      </c>
      <c r="J11" s="123"/>
      <c r="K11" s="138">
        <f t="shared" si="2"/>
        <v>2.1375119853261948</v>
      </c>
      <c r="L11" s="139" t="str">
        <f>IF(B11="","",IF($D$22=Input!G8,"n/a",IF(K11&lt;$I$31,"COMPLIANT","BREACHED")))</f>
        <v>n/a</v>
      </c>
      <c r="M11" s="114"/>
      <c r="N11" s="391"/>
      <c r="O11" s="391"/>
      <c r="P11" s="391"/>
      <c r="Q11" s="391"/>
      <c r="R11" s="391"/>
      <c r="S11" s="393"/>
    </row>
    <row r="12" spans="1:19" s="101" customFormat="1" x14ac:dyDescent="0.2">
      <c r="A12" s="114"/>
      <c r="B12" s="130" t="s">
        <v>176</v>
      </c>
      <c r="C12" s="306" t="s">
        <v>176</v>
      </c>
      <c r="D12" s="136">
        <v>128.62478371700377</v>
      </c>
      <c r="E12" s="309">
        <v>60.174999999999997</v>
      </c>
      <c r="F12" s="137">
        <v>4653.0601144421526</v>
      </c>
      <c r="G12" s="123"/>
      <c r="H12" s="133">
        <f t="shared" si="0"/>
        <v>598498.85084233864</v>
      </c>
      <c r="I12" s="133">
        <f t="shared" si="1"/>
        <v>279997.89238655654</v>
      </c>
      <c r="J12" s="123"/>
      <c r="K12" s="138">
        <f t="shared" si="2"/>
        <v>2.1375119853261944</v>
      </c>
      <c r="L12" s="139" t="str">
        <f>IF(B12="","",IF($D$22=Input!G8,"n/a",IF(K12&lt;$I$31,"COMPLIANT","BREACHED")))</f>
        <v>n/a</v>
      </c>
      <c r="M12" s="114"/>
      <c r="N12" s="391"/>
      <c r="O12" s="391"/>
      <c r="P12" s="391"/>
      <c r="Q12" s="391"/>
      <c r="R12" s="391"/>
      <c r="S12" s="393"/>
    </row>
    <row r="13" spans="1:19" s="101" customFormat="1" x14ac:dyDescent="0.2">
      <c r="A13" s="114"/>
      <c r="B13" s="130"/>
      <c r="C13" s="306"/>
      <c r="D13" s="140"/>
      <c r="E13" s="310"/>
      <c r="F13" s="141"/>
      <c r="G13" s="123"/>
      <c r="H13" s="133">
        <f t="shared" si="0"/>
        <v>0</v>
      </c>
      <c r="I13" s="133">
        <f t="shared" si="1"/>
        <v>0</v>
      </c>
      <c r="J13" s="123"/>
      <c r="K13" s="138" t="str">
        <f t="shared" si="2"/>
        <v/>
      </c>
      <c r="L13" s="139" t="str">
        <f>IF(B13="","",IF($D$22=Input!G8,"n/a",IF(K13&lt;$I$31,"COMPLIANT","BREACHED")))</f>
        <v/>
      </c>
      <c r="M13" s="114"/>
      <c r="N13" s="391"/>
      <c r="O13" s="114"/>
      <c r="P13" s="114"/>
      <c r="Q13" s="114"/>
      <c r="R13" s="114"/>
    </row>
    <row r="14" spans="1:19" s="101" customFormat="1" x14ac:dyDescent="0.2">
      <c r="A14" s="114"/>
      <c r="B14" s="130"/>
      <c r="C14" s="306"/>
      <c r="D14" s="140"/>
      <c r="E14" s="310"/>
      <c r="F14" s="141"/>
      <c r="G14" s="123"/>
      <c r="H14" s="133">
        <f t="shared" si="0"/>
        <v>0</v>
      </c>
      <c r="I14" s="133">
        <f t="shared" si="1"/>
        <v>0</v>
      </c>
      <c r="J14" s="123"/>
      <c r="K14" s="138" t="str">
        <f t="shared" si="2"/>
        <v/>
      </c>
      <c r="L14" s="139" t="str">
        <f>IF(B14="","",IF($D$22=Input!G8,"n/a",IF(K14&lt;$I$31,"COMPLIANT","BREACHED")))</f>
        <v/>
      </c>
      <c r="M14" s="114"/>
      <c r="N14" s="114"/>
      <c r="O14" s="114"/>
      <c r="P14" s="114"/>
      <c r="Q14" s="114"/>
      <c r="R14" s="114"/>
    </row>
    <row r="15" spans="1:19" s="101" customFormat="1" x14ac:dyDescent="0.2">
      <c r="A15" s="114"/>
      <c r="B15" s="130"/>
      <c r="C15" s="306"/>
      <c r="D15" s="140"/>
      <c r="E15" s="310"/>
      <c r="F15" s="141"/>
      <c r="G15" s="123"/>
      <c r="H15" s="133">
        <f t="shared" si="0"/>
        <v>0</v>
      </c>
      <c r="I15" s="133">
        <f t="shared" si="1"/>
        <v>0</v>
      </c>
      <c r="J15" s="123"/>
      <c r="K15" s="138" t="str">
        <f t="shared" si="2"/>
        <v/>
      </c>
      <c r="L15" s="139" t="str">
        <f>IF(B15="","",IF($D$22=Input!G8,"n/a",IF(K15&lt;$I$31,"COMPLIANT","BREACHED")))</f>
        <v/>
      </c>
      <c r="M15" s="114"/>
      <c r="N15" s="114"/>
      <c r="O15" s="114"/>
      <c r="P15" s="114"/>
      <c r="Q15" s="114"/>
      <c r="R15" s="114"/>
    </row>
    <row r="16" spans="1:19" s="101" customFormat="1" ht="13.5" thickBot="1" x14ac:dyDescent="0.25">
      <c r="A16" s="114"/>
      <c r="B16" s="142"/>
      <c r="C16" s="307"/>
      <c r="D16" s="143"/>
      <c r="E16" s="311"/>
      <c r="F16" s="144"/>
      <c r="G16" s="123"/>
      <c r="H16" s="145">
        <f t="shared" si="0"/>
        <v>0</v>
      </c>
      <c r="I16" s="145">
        <f t="shared" si="1"/>
        <v>0</v>
      </c>
      <c r="J16" s="123"/>
      <c r="K16" s="146" t="str">
        <f t="shared" si="2"/>
        <v/>
      </c>
      <c r="L16" s="147" t="str">
        <f>IF(B16="","",IF($D$22=Input!G8,"n/a",IF(K16&lt;$I$31,"COMPLIANT","BREACHED")))</f>
        <v/>
      </c>
      <c r="M16" s="114"/>
      <c r="N16" s="114"/>
      <c r="O16" s="114"/>
      <c r="P16" s="114"/>
      <c r="Q16" s="114"/>
      <c r="R16" s="114"/>
    </row>
    <row r="17" spans="1:22" s="67" customFormat="1" ht="13.5" thickBot="1" x14ac:dyDescent="0.25">
      <c r="A17" s="123"/>
      <c r="B17" s="123"/>
      <c r="C17" s="123"/>
      <c r="D17" s="123"/>
      <c r="E17" s="123"/>
      <c r="F17" s="123"/>
      <c r="G17" s="123"/>
      <c r="H17" s="148">
        <f>SUM(H7:H16)</f>
        <v>57644366.752563745</v>
      </c>
      <c r="I17" s="148">
        <f>SUM(I7:I16)</f>
        <v>26967973.582504582</v>
      </c>
      <c r="J17" s="123"/>
      <c r="K17" s="123"/>
      <c r="L17" s="123"/>
      <c r="M17" s="123"/>
      <c r="N17" s="123"/>
      <c r="O17" s="123"/>
      <c r="P17" s="123"/>
      <c r="Q17" s="123"/>
      <c r="R17" s="123"/>
    </row>
    <row r="18" spans="1:22" s="101" customFormat="1" ht="13.5" thickTop="1" x14ac:dyDescent="0.2">
      <c r="A18" s="114"/>
      <c r="B18" s="312" t="s">
        <v>100</v>
      </c>
      <c r="C18" s="313"/>
      <c r="D18" s="313"/>
      <c r="E18" s="31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</row>
    <row r="19" spans="1:22" s="101" customFormat="1" x14ac:dyDescent="0.2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1:22" s="101" customFormat="1" x14ac:dyDescent="0.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</row>
    <row r="21" spans="1:22" s="101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</row>
    <row r="22" spans="1:22" s="154" customFormat="1" ht="15" x14ac:dyDescent="0.25">
      <c r="A22" s="149"/>
      <c r="B22" s="150" t="s">
        <v>101</v>
      </c>
      <c r="C22" s="151"/>
      <c r="D22" s="152" t="str">
        <f>Input!E7</f>
        <v>2021/22</v>
      </c>
      <c r="E22" s="153" t="str">
        <f>Input!E8</f>
        <v>HY21</v>
      </c>
      <c r="M22" s="101"/>
      <c r="N22" s="155"/>
      <c r="O22" s="155"/>
      <c r="P22" s="155"/>
      <c r="Q22" s="155"/>
      <c r="R22" s="155"/>
    </row>
    <row r="23" spans="1:22" s="154" customFormat="1" ht="15" x14ac:dyDescent="0.25">
      <c r="A23" s="149"/>
      <c r="B23" s="156"/>
      <c r="C23" s="157"/>
      <c r="D23" s="158"/>
      <c r="E23" s="159"/>
      <c r="F23" s="149"/>
      <c r="G23" s="160"/>
      <c r="H23" s="161"/>
      <c r="I23" s="160"/>
      <c r="J23" s="160"/>
      <c r="K23" s="162"/>
      <c r="L23" s="162"/>
      <c r="M23" s="162"/>
      <c r="N23" s="162"/>
      <c r="O23" s="162"/>
      <c r="P23" s="162"/>
      <c r="Q23" s="149"/>
    </row>
    <row r="24" spans="1:22" s="154" customFormat="1" ht="18" customHeight="1" x14ac:dyDescent="0.2">
      <c r="A24" s="163"/>
      <c r="B24" s="164" t="s">
        <v>102</v>
      </c>
      <c r="C24" s="165"/>
      <c r="D24" s="166"/>
      <c r="E24" s="162"/>
      <c r="G24" s="167"/>
      <c r="H24" s="397" t="s">
        <v>103</v>
      </c>
      <c r="I24" s="398"/>
      <c r="J24" s="167"/>
      <c r="K24" s="168"/>
      <c r="L24" s="155"/>
      <c r="M24" s="155"/>
      <c r="N24" s="155"/>
      <c r="O24" s="155"/>
      <c r="P24" s="155"/>
    </row>
    <row r="25" spans="1:22" s="154" customFormat="1" ht="18" customHeight="1" x14ac:dyDescent="0.2">
      <c r="A25" s="163"/>
      <c r="B25" s="169" t="s">
        <v>104</v>
      </c>
      <c r="C25" s="170"/>
      <c r="D25" s="171">
        <f>H17</f>
        <v>57644366.752563745</v>
      </c>
      <c r="E25" s="162"/>
      <c r="G25" s="167"/>
      <c r="H25" s="172" t="str">
        <f>"CPI "&amp;Input!$E$7</f>
        <v>CPI 2021/22</v>
      </c>
      <c r="I25" s="173" t="str">
        <f>IF(D22=Input!G8,"n/a",D38)</f>
        <v>n/a</v>
      </c>
      <c r="J25" s="167"/>
      <c r="K25" s="168"/>
      <c r="L25" s="155"/>
      <c r="M25" s="155"/>
      <c r="N25" s="155"/>
      <c r="O25" s="155"/>
      <c r="P25" s="155"/>
    </row>
    <row r="26" spans="1:22" s="154" customFormat="1" ht="18" customHeight="1" x14ac:dyDescent="0.2">
      <c r="A26" s="163"/>
      <c r="B26" s="174" t="s">
        <v>105</v>
      </c>
      <c r="C26" s="175"/>
      <c r="D26" s="176">
        <f>D34</f>
        <v>57644366.752563745</v>
      </c>
      <c r="E26" s="162"/>
      <c r="G26" s="177"/>
      <c r="H26" s="178" t="str">
        <f>"X "&amp; Input!$E$7</f>
        <v>X 2021/22</v>
      </c>
      <c r="I26" s="179" t="str">
        <f>IF(D22=Input!G8,"n/a", MIN(D39,0))</f>
        <v>n/a</v>
      </c>
      <c r="J26" s="177"/>
      <c r="K26" s="168"/>
      <c r="L26" s="155"/>
      <c r="M26" s="155"/>
      <c r="N26" s="155"/>
      <c r="O26" s="155"/>
      <c r="P26" s="155"/>
    </row>
    <row r="27" spans="1:22" s="154" customFormat="1" ht="18" customHeight="1" x14ac:dyDescent="0.25">
      <c r="A27" s="163"/>
      <c r="B27" s="180"/>
      <c r="C27" s="181"/>
      <c r="D27" s="182" t="str">
        <f>IF(D25="","",IF(D26&gt;=D25,"METERING REVENUE CAP FORMULA COMPLIANT","METERING REVENUE CAP FORMULA BREACHED"))</f>
        <v>METERING REVENUE CAP FORMULA COMPLIANT</v>
      </c>
      <c r="E27" s="384" t="b">
        <f>D27="METERING REVENUE CAP FORMULA COMPLIANT"</f>
        <v>1</v>
      </c>
      <c r="F27" s="177"/>
      <c r="G27" s="177"/>
      <c r="H27" s="178" t="str">
        <f>"Ct "&amp;Input!$E$7</f>
        <v>Ct 2021/22</v>
      </c>
      <c r="I27" s="179" t="str">
        <f>IF(D22=Input!G8,"n/a",(D31-E31)/I$17)</f>
        <v>n/a</v>
      </c>
      <c r="J27" s="177"/>
      <c r="K27" s="168"/>
      <c r="L27" s="155"/>
      <c r="M27" s="155"/>
      <c r="N27" s="155"/>
      <c r="O27" s="155"/>
      <c r="P27" s="155"/>
      <c r="T27" s="184"/>
      <c r="U27" s="184"/>
      <c r="V27" s="184"/>
    </row>
    <row r="28" spans="1:22" s="154" customFormat="1" ht="18" customHeight="1" x14ac:dyDescent="0.25">
      <c r="A28" s="163"/>
      <c r="B28" s="185"/>
      <c r="C28" s="185"/>
      <c r="D28" s="185"/>
      <c r="E28" s="183"/>
      <c r="F28" s="177"/>
      <c r="G28" s="177"/>
      <c r="H28" s="178" t="str">
        <f>"Tt "&amp;Input!$E$7</f>
        <v>Tt 2021/22</v>
      </c>
      <c r="I28" s="179" t="str">
        <f>IF(D22=Input!G8,"n/a",(D32-E32)/I$17)</f>
        <v>n/a</v>
      </c>
      <c r="J28" s="177"/>
      <c r="K28" s="168"/>
      <c r="L28" s="155"/>
      <c r="M28" s="155"/>
      <c r="N28" s="155"/>
      <c r="O28" s="155"/>
      <c r="P28" s="155"/>
      <c r="T28" s="184"/>
      <c r="U28" s="184"/>
      <c r="V28" s="184"/>
    </row>
    <row r="29" spans="1:22" s="154" customFormat="1" ht="18" customHeight="1" x14ac:dyDescent="0.25">
      <c r="A29" s="163"/>
      <c r="B29" s="164" t="s">
        <v>106</v>
      </c>
      <c r="C29" s="185"/>
      <c r="D29" s="185"/>
      <c r="E29" s="183"/>
      <c r="F29" s="177"/>
      <c r="G29" s="177"/>
      <c r="H29" s="178" t="str">
        <f>"Bt "&amp;Input!$E$7</f>
        <v>Bt 2021/22</v>
      </c>
      <c r="I29" s="186" t="str">
        <f>IF(D22=Input!G8,"n/a",(D33-E33)/I$17)</f>
        <v>n/a</v>
      </c>
      <c r="J29" s="177"/>
      <c r="K29" s="168"/>
      <c r="L29" s="155"/>
      <c r="M29" s="155"/>
      <c r="N29" s="155"/>
      <c r="O29" s="155"/>
      <c r="P29" s="155"/>
      <c r="T29" s="184"/>
      <c r="U29" s="184"/>
      <c r="V29" s="184"/>
    </row>
    <row r="30" spans="1:22" s="154" customFormat="1" ht="18" customHeight="1" x14ac:dyDescent="0.25">
      <c r="A30" s="163"/>
      <c r="B30" s="187" t="s">
        <v>107</v>
      </c>
      <c r="C30" s="188"/>
      <c r="D30" s="189">
        <f>D40</f>
        <v>56923030.999930821</v>
      </c>
      <c r="E30" s="183"/>
      <c r="F30" s="177"/>
      <c r="G30" s="177"/>
      <c r="H30" s="190"/>
      <c r="I30" s="191"/>
      <c r="J30" s="177"/>
      <c r="K30" s="168"/>
      <c r="L30" s="155"/>
      <c r="M30" s="155"/>
      <c r="N30" s="155"/>
      <c r="O30" s="155"/>
      <c r="P30" s="155"/>
      <c r="T30" s="184"/>
      <c r="U30" s="184"/>
      <c r="V30" s="184"/>
    </row>
    <row r="31" spans="1:22" s="154" customFormat="1" ht="18" customHeight="1" x14ac:dyDescent="0.25">
      <c r="A31" s="163"/>
      <c r="B31" s="187" t="s">
        <v>108</v>
      </c>
      <c r="C31" s="188"/>
      <c r="D31" s="192">
        <f>INDEX(Input!F63:J63,1,MATCH($D$22,Input!F56:J56,0))</f>
        <v>-15261.177117992653</v>
      </c>
      <c r="E31" s="193" t="str">
        <f>IF(D22=Input!G8,"n/a",INDEX(Input!F63:J63,1,MATCH($E$22,Input!F56:J56,0)))</f>
        <v>n/a</v>
      </c>
      <c r="F31" s="177"/>
      <c r="G31" s="177"/>
      <c r="H31" s="190"/>
      <c r="I31" s="194" t="str">
        <f>IF(D22=Input!G8,"n/a",(1+I25)*(1-I26)*(1+0.02)+SUM(I27:I29))</f>
        <v>n/a</v>
      </c>
      <c r="J31" s="177"/>
      <c r="K31" s="168"/>
      <c r="L31" s="155"/>
      <c r="M31" s="155"/>
      <c r="N31" s="155"/>
      <c r="O31" s="155"/>
      <c r="P31" s="155"/>
      <c r="T31" s="184"/>
      <c r="U31" s="184"/>
      <c r="V31" s="184"/>
    </row>
    <row r="32" spans="1:22" s="154" customFormat="1" ht="18" customHeight="1" x14ac:dyDescent="0.25">
      <c r="A32" s="163"/>
      <c r="B32" s="195" t="s">
        <v>109</v>
      </c>
      <c r="C32" s="196"/>
      <c r="D32" s="197">
        <v>0</v>
      </c>
      <c r="E32" s="193" t="str">
        <f>IF(D22=Input!G8,"n/a",0)</f>
        <v>n/a</v>
      </c>
      <c r="F32" s="177"/>
      <c r="G32" s="177"/>
      <c r="H32" s="198"/>
      <c r="I32" s="199"/>
      <c r="J32" s="177"/>
      <c r="K32" s="168"/>
      <c r="L32" s="155"/>
      <c r="M32" s="155"/>
      <c r="N32" s="155"/>
      <c r="O32" s="155"/>
      <c r="P32" s="155"/>
      <c r="T32" s="184"/>
      <c r="U32" s="184"/>
      <c r="V32" s="184"/>
    </row>
    <row r="33" spans="1:22" s="154" customFormat="1" ht="18" customHeight="1" x14ac:dyDescent="0.25">
      <c r="A33" s="163"/>
      <c r="B33" s="195" t="s">
        <v>110</v>
      </c>
      <c r="C33" s="200"/>
      <c r="D33" s="192">
        <f>-G72*(1+G70)^0.5</f>
        <v>736596.92975092027</v>
      </c>
      <c r="E33" s="193" t="str">
        <f>Input!D92</f>
        <v>n/a</v>
      </c>
      <c r="F33" s="177"/>
      <c r="G33" s="167"/>
      <c r="K33" s="155"/>
      <c r="L33" s="155"/>
      <c r="M33" s="155"/>
      <c r="N33" s="155"/>
      <c r="O33" s="155"/>
      <c r="P33" s="155"/>
      <c r="T33" s="184"/>
      <c r="U33" s="184"/>
      <c r="V33" s="184"/>
    </row>
    <row r="34" spans="1:22" s="154" customFormat="1" ht="18" customHeight="1" x14ac:dyDescent="0.25">
      <c r="A34" s="163"/>
      <c r="B34" s="169" t="s">
        <v>111</v>
      </c>
      <c r="C34" s="201"/>
      <c r="D34" s="314">
        <f>SUM(D30:D33)</f>
        <v>57644366.752563745</v>
      </c>
      <c r="E34" s="183"/>
      <c r="F34" s="177"/>
      <c r="G34" s="177"/>
      <c r="H34" s="177"/>
      <c r="I34" s="177"/>
      <c r="J34" s="177"/>
      <c r="K34" s="155"/>
      <c r="L34" s="155"/>
      <c r="M34" s="155"/>
      <c r="N34" s="155"/>
      <c r="O34" s="155"/>
      <c r="P34" s="155"/>
      <c r="T34" s="184"/>
      <c r="U34" s="184"/>
      <c r="V34" s="184"/>
    </row>
    <row r="35" spans="1:22" s="154" customFormat="1" ht="18" customHeight="1" x14ac:dyDescent="0.25">
      <c r="A35" s="163"/>
      <c r="B35" s="202"/>
      <c r="C35" s="202"/>
      <c r="D35" s="203"/>
      <c r="E35" s="183"/>
      <c r="F35" s="177"/>
      <c r="G35" s="177"/>
      <c r="H35" s="177"/>
      <c r="I35" s="177"/>
      <c r="J35" s="177"/>
      <c r="K35" s="155"/>
      <c r="L35" s="155"/>
      <c r="M35" s="155"/>
      <c r="N35" s="155"/>
      <c r="O35" s="155"/>
      <c r="P35" s="155"/>
      <c r="T35" s="184"/>
      <c r="U35" s="184"/>
      <c r="V35" s="184"/>
    </row>
    <row r="36" spans="1:22" s="154" customFormat="1" ht="18" customHeight="1" x14ac:dyDescent="0.25">
      <c r="A36" s="163"/>
      <c r="B36" s="164" t="s">
        <v>112</v>
      </c>
      <c r="C36" s="185"/>
      <c r="D36" s="185"/>
      <c r="E36" s="183"/>
      <c r="F36" s="177"/>
      <c r="G36" s="177"/>
      <c r="H36" s="177"/>
      <c r="I36" s="177"/>
      <c r="J36" s="177"/>
      <c r="K36" s="155"/>
      <c r="L36" s="155"/>
      <c r="M36" s="155"/>
      <c r="N36" s="155"/>
      <c r="O36" s="155"/>
      <c r="P36" s="155"/>
      <c r="T36" s="184"/>
      <c r="U36" s="184"/>
      <c r="V36" s="184"/>
    </row>
    <row r="37" spans="1:22" s="154" customFormat="1" ht="18" customHeight="1" x14ac:dyDescent="0.25">
      <c r="A37" s="163"/>
      <c r="B37" s="169" t="s">
        <v>113</v>
      </c>
      <c r="C37" s="175"/>
      <c r="D37" s="171" t="str">
        <f>Input!D83</f>
        <v>n/a</v>
      </c>
      <c r="E37" s="183"/>
      <c r="F37" s="177"/>
      <c r="G37" s="177"/>
      <c r="H37" s="177"/>
      <c r="I37" s="177"/>
      <c r="J37" s="177"/>
      <c r="K37" s="155"/>
      <c r="L37" s="155"/>
      <c r="M37" s="155"/>
      <c r="N37" s="155"/>
      <c r="O37" s="155"/>
      <c r="P37" s="155"/>
      <c r="T37" s="184"/>
      <c r="U37" s="184"/>
      <c r="V37" s="184"/>
    </row>
    <row r="38" spans="1:22" s="154" customFormat="1" ht="18" customHeight="1" x14ac:dyDescent="0.25">
      <c r="A38" s="163"/>
      <c r="B38" s="187" t="s">
        <v>114</v>
      </c>
      <c r="C38" s="175"/>
      <c r="D38" s="204">
        <f>Input!E28</f>
        <v>8.6058519793459354E-3</v>
      </c>
      <c r="E38" s="183"/>
      <c r="F38" s="177"/>
      <c r="G38" s="177"/>
      <c r="H38" s="177"/>
      <c r="I38" s="177"/>
      <c r="J38" s="177"/>
      <c r="K38" s="155"/>
      <c r="L38" s="155"/>
      <c r="M38" s="155"/>
      <c r="N38" s="155"/>
      <c r="O38" s="155"/>
      <c r="P38" s="155"/>
      <c r="T38" s="184"/>
      <c r="U38" s="184"/>
      <c r="V38" s="184"/>
    </row>
    <row r="39" spans="1:22" s="154" customFormat="1" ht="18" customHeight="1" x14ac:dyDescent="0.25">
      <c r="A39" s="163"/>
      <c r="B39" s="187" t="s">
        <v>115</v>
      </c>
      <c r="C39" s="196"/>
      <c r="D39" s="204" t="str">
        <f>Input!D53</f>
        <v>n/a</v>
      </c>
      <c r="E39" s="183"/>
      <c r="F39" s="177"/>
      <c r="G39" s="177"/>
      <c r="H39" s="177"/>
      <c r="I39" s="177"/>
      <c r="J39" s="177"/>
      <c r="K39" s="155"/>
      <c r="L39" s="155"/>
      <c r="M39" s="155"/>
      <c r="N39" s="155"/>
      <c r="O39" s="155"/>
      <c r="P39" s="155"/>
      <c r="T39" s="184"/>
      <c r="U39" s="184"/>
      <c r="V39" s="184"/>
    </row>
    <row r="40" spans="1:22" s="154" customFormat="1" ht="18" customHeight="1" x14ac:dyDescent="0.25">
      <c r="A40" s="163"/>
      <c r="B40" s="169" t="s">
        <v>116</v>
      </c>
      <c r="C40" s="201"/>
      <c r="D40" s="314">
        <f>IF(D22=Input!G8,Input!F53,(D37*(1+D38)*(1-D39)))</f>
        <v>56923030.999930821</v>
      </c>
      <c r="E40" s="183"/>
      <c r="F40" s="177"/>
      <c r="G40" s="177"/>
      <c r="H40" s="177"/>
      <c r="I40" s="177"/>
      <c r="J40" s="177"/>
      <c r="K40" s="155"/>
      <c r="L40" s="155"/>
      <c r="M40" s="155"/>
      <c r="N40" s="155"/>
      <c r="O40" s="155"/>
      <c r="P40" s="155"/>
      <c r="T40" s="184"/>
      <c r="U40" s="184"/>
      <c r="V40" s="184"/>
    </row>
    <row r="41" spans="1:22" s="154" customFormat="1" ht="18" customHeight="1" x14ac:dyDescent="0.25">
      <c r="A41" s="163"/>
      <c r="B41" s="205"/>
      <c r="C41" s="164"/>
      <c r="D41" s="206"/>
      <c r="E41" s="183"/>
      <c r="F41" s="177"/>
      <c r="G41" s="177"/>
      <c r="H41" s="177"/>
      <c r="I41" s="177"/>
      <c r="J41" s="177"/>
      <c r="K41" s="155"/>
      <c r="L41" s="155"/>
      <c r="M41" s="155"/>
      <c r="N41" s="155"/>
      <c r="O41" s="155"/>
      <c r="P41" s="155"/>
      <c r="T41" s="184"/>
      <c r="U41" s="184"/>
      <c r="V41" s="184"/>
    </row>
    <row r="42" spans="1:22" s="154" customFormat="1" ht="14.25" x14ac:dyDescent="0.2">
      <c r="A42" s="149"/>
      <c r="B42" s="207"/>
      <c r="C42" s="208"/>
      <c r="D42" s="209"/>
      <c r="H42" s="210"/>
    </row>
    <row r="43" spans="1:22" s="154" customFormat="1" ht="14.25" x14ac:dyDescent="0.2">
      <c r="A43" s="149"/>
      <c r="B43" s="207"/>
      <c r="C43" s="208"/>
      <c r="D43" s="209"/>
      <c r="H43" s="210"/>
    </row>
    <row r="44" spans="1:22" s="154" customFormat="1" ht="14.25" x14ac:dyDescent="0.2">
      <c r="A44" s="149"/>
      <c r="B44" s="207"/>
      <c r="C44" s="208"/>
      <c r="D44" s="209"/>
      <c r="H44" s="210"/>
    </row>
    <row r="45" spans="1:22" s="154" customFormat="1" ht="15.75" x14ac:dyDescent="0.25">
      <c r="A45" s="149"/>
      <c r="B45" s="211" t="s">
        <v>117</v>
      </c>
      <c r="C45" s="208"/>
      <c r="D45" s="208"/>
      <c r="E45" s="209"/>
      <c r="I45" s="210"/>
    </row>
    <row r="46" spans="1:22" s="154" customFormat="1" ht="15" x14ac:dyDescent="0.25">
      <c r="A46" s="149"/>
      <c r="B46" s="212"/>
      <c r="C46" s="213"/>
      <c r="D46" s="214" t="str">
        <f>IF(Input!E5&gt;2023, "", "Year t-3")</f>
        <v>Year t-3</v>
      </c>
      <c r="E46" s="214" t="s">
        <v>118</v>
      </c>
      <c r="F46" s="214" t="s">
        <v>119</v>
      </c>
      <c r="G46" s="214" t="s">
        <v>120</v>
      </c>
      <c r="I46" s="210"/>
    </row>
    <row r="47" spans="1:22" s="154" customFormat="1" ht="15" x14ac:dyDescent="0.25">
      <c r="A47" s="149"/>
      <c r="B47" s="215"/>
      <c r="C47" s="216"/>
      <c r="D47" s="217" t="str">
        <f>IF(Input!E5&gt;2023, "", "(actual)")</f>
        <v>(actual)</v>
      </c>
      <c r="E47" s="217" t="str">
        <f>IF(E48=2020,"(estimate)","(actual)")</f>
        <v>(estimate)</v>
      </c>
      <c r="F47" s="217" t="s">
        <v>121</v>
      </c>
      <c r="G47" s="217" t="s">
        <v>122</v>
      </c>
      <c r="I47" s="154" t="s">
        <v>123</v>
      </c>
    </row>
    <row r="48" spans="1:22" s="154" customFormat="1" ht="15" x14ac:dyDescent="0.25">
      <c r="A48" s="149"/>
      <c r="B48" s="215"/>
      <c r="C48" s="216"/>
      <c r="D48" s="218">
        <f>IF(Input!E5&gt;2023, "", Input!E10)</f>
        <v>2019</v>
      </c>
      <c r="E48" s="218">
        <f>Input!E9</f>
        <v>2020</v>
      </c>
      <c r="F48" s="218" t="str">
        <f>Input!E8</f>
        <v>HY21</v>
      </c>
      <c r="G48" s="218" t="str">
        <f>Input!E7</f>
        <v>2021/22</v>
      </c>
      <c r="I48" s="210"/>
    </row>
    <row r="49" spans="1:9" s="154" customFormat="1" ht="14.25" x14ac:dyDescent="0.2">
      <c r="A49" s="149"/>
      <c r="B49" s="215"/>
      <c r="C49" s="216"/>
      <c r="D49" s="219" t="b">
        <f>D48=D51</f>
        <v>0</v>
      </c>
      <c r="E49" s="220"/>
      <c r="F49" s="220"/>
      <c r="G49" s="221"/>
      <c r="I49" s="210" t="s">
        <v>124</v>
      </c>
    </row>
    <row r="50" spans="1:9" s="154" customFormat="1" ht="15" x14ac:dyDescent="0.25">
      <c r="A50" s="149"/>
      <c r="B50" s="222" t="s">
        <v>125</v>
      </c>
      <c r="C50" s="216"/>
      <c r="D50" s="316">
        <v>49800552.939999998</v>
      </c>
      <c r="E50" s="223">
        <v>44723939.159999996</v>
      </c>
      <c r="F50" s="189">
        <f>E93</f>
        <v>26632850.300753415</v>
      </c>
      <c r="G50" s="224">
        <f>D25</f>
        <v>57644366.752563745</v>
      </c>
      <c r="I50" s="210" t="s">
        <v>126</v>
      </c>
    </row>
    <row r="51" spans="1:9" s="154" customFormat="1" ht="14.25" x14ac:dyDescent="0.2">
      <c r="A51" s="149"/>
      <c r="B51" s="225"/>
      <c r="C51" s="216"/>
      <c r="D51" s="220"/>
      <c r="E51" s="220"/>
      <c r="F51" s="220"/>
      <c r="G51" s="226"/>
      <c r="I51" s="154" t="s">
        <v>127</v>
      </c>
    </row>
    <row r="52" spans="1:9" s="154" customFormat="1" ht="14.25" x14ac:dyDescent="0.2">
      <c r="A52" s="149"/>
      <c r="B52" s="225"/>
      <c r="C52" s="216"/>
      <c r="D52" s="220"/>
      <c r="E52" s="220"/>
      <c r="F52" s="220"/>
      <c r="G52" s="226"/>
      <c r="I52" s="210"/>
    </row>
    <row r="53" spans="1:9" s="154" customFormat="1" ht="15" x14ac:dyDescent="0.25">
      <c r="A53" s="149"/>
      <c r="B53" s="227" t="s">
        <v>128</v>
      </c>
      <c r="C53" s="216"/>
      <c r="D53" s="224">
        <f>IF(Input!E5&gt;2023, "", Input!C73)</f>
        <v>49056389.446037047</v>
      </c>
      <c r="E53" s="224">
        <f>Input!D73</f>
        <v>45221401.90122664</v>
      </c>
      <c r="F53" s="224">
        <f>Input!E73</f>
        <v>26605535.858153801</v>
      </c>
      <c r="G53" s="224">
        <f>SUM(G54:G56)</f>
        <v>56907769.822812825</v>
      </c>
      <c r="I53" s="210" t="s">
        <v>129</v>
      </c>
    </row>
    <row r="54" spans="1:9" s="154" customFormat="1" ht="14.25" x14ac:dyDescent="0.2">
      <c r="A54" s="149"/>
      <c r="B54" s="228" t="s">
        <v>130</v>
      </c>
      <c r="C54" s="216"/>
      <c r="D54" s="229"/>
      <c r="E54" s="229"/>
      <c r="F54" s="230"/>
      <c r="G54" s="231">
        <f>D30</f>
        <v>56923030.999930821</v>
      </c>
      <c r="I54" s="210"/>
    </row>
    <row r="55" spans="1:9" s="154" customFormat="1" ht="14.25" x14ac:dyDescent="0.2">
      <c r="A55" s="149"/>
      <c r="B55" s="228" t="s">
        <v>131</v>
      </c>
      <c r="C55" s="216"/>
      <c r="D55" s="232"/>
      <c r="E55" s="232"/>
      <c r="F55" s="233"/>
      <c r="G55" s="226">
        <f>D31</f>
        <v>-15261.177117992653</v>
      </c>
      <c r="I55" s="210"/>
    </row>
    <row r="56" spans="1:9" s="154" customFormat="1" ht="14.25" x14ac:dyDescent="0.2">
      <c r="A56" s="149"/>
      <c r="B56" s="228" t="s">
        <v>132</v>
      </c>
      <c r="C56" s="216"/>
      <c r="D56" s="232"/>
      <c r="E56" s="232"/>
      <c r="F56" s="233"/>
      <c r="G56" s="226">
        <f>D32</f>
        <v>0</v>
      </c>
      <c r="I56" s="210"/>
    </row>
    <row r="57" spans="1:9" s="154" customFormat="1" ht="14.25" x14ac:dyDescent="0.2">
      <c r="A57" s="149"/>
      <c r="B57" s="228" t="s">
        <v>133</v>
      </c>
      <c r="C57" s="216"/>
      <c r="D57" s="234"/>
      <c r="E57" s="234"/>
      <c r="F57" s="234"/>
      <c r="G57" s="235">
        <v>0</v>
      </c>
      <c r="I57" s="210"/>
    </row>
    <row r="58" spans="1:9" s="154" customFormat="1" ht="14.25" x14ac:dyDescent="0.2">
      <c r="A58" s="149"/>
      <c r="B58" s="228"/>
      <c r="C58" s="216"/>
      <c r="D58" s="236"/>
      <c r="E58" s="236"/>
      <c r="F58" s="236"/>
      <c r="G58" s="237"/>
      <c r="I58" s="210"/>
    </row>
    <row r="59" spans="1:9" s="154" customFormat="1" ht="14.25" x14ac:dyDescent="0.2">
      <c r="A59" s="149"/>
      <c r="B59" s="238"/>
      <c r="C59" s="216"/>
      <c r="D59" s="220"/>
      <c r="E59" s="220"/>
      <c r="F59" s="220"/>
      <c r="G59" s="226"/>
      <c r="I59" s="210"/>
    </row>
    <row r="60" spans="1:9" s="154" customFormat="1" ht="15" x14ac:dyDescent="0.25">
      <c r="A60" s="149"/>
      <c r="B60" s="227" t="s">
        <v>164</v>
      </c>
      <c r="C60" s="216"/>
      <c r="D60" s="382"/>
      <c r="E60" s="382"/>
      <c r="F60" s="382"/>
      <c r="G60" s="382"/>
      <c r="I60" s="210"/>
    </row>
    <row r="61" spans="1:9" s="154" customFormat="1" ht="15" x14ac:dyDescent="0.25">
      <c r="A61" s="149"/>
      <c r="B61" s="239" t="s">
        <v>165</v>
      </c>
      <c r="C61" s="240"/>
      <c r="D61" s="224">
        <f>IF(Input!E5&gt;2023, "", D50-D53+D60)</f>
        <v>744163.493962951</v>
      </c>
      <c r="E61" s="224">
        <f>E50-E53+E60</f>
        <v>-497462.74122664332</v>
      </c>
      <c r="F61" s="224">
        <f>F50-F53+F60</f>
        <v>27314.442599613219</v>
      </c>
      <c r="G61" s="224">
        <f>G50-G53+G60</f>
        <v>736596.92975091934</v>
      </c>
      <c r="I61" s="210"/>
    </row>
    <row r="62" spans="1:9" s="154" customFormat="1" ht="14.25" x14ac:dyDescent="0.2">
      <c r="A62" s="149"/>
      <c r="B62" s="241"/>
      <c r="C62" s="208"/>
      <c r="F62" s="209"/>
      <c r="I62" s="210"/>
    </row>
    <row r="63" spans="1:9" s="154" customFormat="1" ht="14.25" x14ac:dyDescent="0.2">
      <c r="A63" s="149"/>
      <c r="B63" s="241"/>
      <c r="C63" s="208"/>
      <c r="F63" s="209"/>
      <c r="I63" s="210"/>
    </row>
    <row r="64" spans="1:9" s="154" customFormat="1" ht="14.25" x14ac:dyDescent="0.2">
      <c r="A64" s="149"/>
      <c r="B64" s="241"/>
      <c r="C64" s="208"/>
      <c r="F64" s="209"/>
      <c r="I64" s="210"/>
    </row>
    <row r="65" spans="1:22" s="154" customFormat="1" ht="15.75" x14ac:dyDescent="0.25">
      <c r="A65" s="149"/>
      <c r="B65" s="211" t="s">
        <v>134</v>
      </c>
      <c r="C65" s="208"/>
      <c r="F65" s="209"/>
      <c r="I65" s="210"/>
    </row>
    <row r="66" spans="1:22" s="154" customFormat="1" ht="15" x14ac:dyDescent="0.25">
      <c r="A66" s="149"/>
      <c r="B66" s="242"/>
      <c r="C66" s="213"/>
      <c r="D66" s="214" t="str">
        <f>IF(Input!E5&gt;2023, "", "Year t-3")</f>
        <v>Year t-3</v>
      </c>
      <c r="E66" s="214" t="s">
        <v>118</v>
      </c>
      <c r="F66" s="214" t="s">
        <v>119</v>
      </c>
      <c r="G66" s="214" t="s">
        <v>120</v>
      </c>
      <c r="I66" s="210"/>
    </row>
    <row r="67" spans="1:22" s="154" customFormat="1" ht="15" x14ac:dyDescent="0.25">
      <c r="A67" s="149"/>
      <c r="B67" s="238"/>
      <c r="C67" s="216"/>
      <c r="D67" s="217" t="str">
        <f>IF(Input!E5&gt;2023, "", "(actual)")</f>
        <v>(actual)</v>
      </c>
      <c r="E67" s="217" t="str">
        <f>IF(E68=2020,"(estimate)","(actual)")</f>
        <v>(estimate)</v>
      </c>
      <c r="F67" s="217" t="s">
        <v>121</v>
      </c>
      <c r="G67" s="217" t="s">
        <v>122</v>
      </c>
      <c r="I67" s="210"/>
    </row>
    <row r="68" spans="1:22" s="154" customFormat="1" ht="15" x14ac:dyDescent="0.25">
      <c r="A68" s="149"/>
      <c r="B68" s="238" t="s">
        <v>135</v>
      </c>
      <c r="C68" s="216"/>
      <c r="D68" s="218">
        <f>IF(Input!E5&gt;2023, "", D48)</f>
        <v>2019</v>
      </c>
      <c r="E68" s="218">
        <f>E48</f>
        <v>2020</v>
      </c>
      <c r="F68" s="218" t="str">
        <f>F48</f>
        <v>HY21</v>
      </c>
      <c r="G68" s="218" t="str">
        <f>G48</f>
        <v>2021/22</v>
      </c>
      <c r="I68" s="210"/>
    </row>
    <row r="69" spans="1:22" s="154" customFormat="1" ht="14.25" x14ac:dyDescent="0.2">
      <c r="A69" s="149"/>
      <c r="B69" s="243"/>
      <c r="C69" s="213"/>
      <c r="D69" s="244"/>
      <c r="E69" s="244"/>
      <c r="F69" s="244"/>
      <c r="G69" s="245"/>
      <c r="I69" s="210"/>
    </row>
    <row r="70" spans="1:22" s="154" customFormat="1" ht="14.25" x14ac:dyDescent="0.2">
      <c r="A70" s="149"/>
      <c r="B70" s="238" t="s">
        <v>136</v>
      </c>
      <c r="C70" s="216"/>
      <c r="D70" s="246">
        <f>IF(Input!E5&gt;2023, "", (1+Input!$D$43)*(1+Input!$E$25)-1)</f>
        <v>5.9004252220941744E-2</v>
      </c>
      <c r="E70" s="247">
        <f>(1+Input!$D$42)*(1+Input!$E$26)-1</f>
        <v>5.27653697732684E-2</v>
      </c>
      <c r="F70" s="244">
        <f>(1+Input!$D$41)*(1+Input!$E$27)-1</f>
        <v>2.4286541408773621E-2</v>
      </c>
      <c r="G70" s="247">
        <f>(1+Input!$D$40)*(1+Input!$E$28)-1</f>
        <v>3.662410606847355E-2</v>
      </c>
      <c r="I70" s="210"/>
    </row>
    <row r="71" spans="1:22" s="154" customFormat="1" ht="14.25" x14ac:dyDescent="0.2">
      <c r="A71" s="149"/>
      <c r="B71" s="238"/>
      <c r="C71" s="216"/>
      <c r="D71" s="220"/>
      <c r="E71" s="220"/>
      <c r="F71" s="220"/>
      <c r="G71" s="221"/>
      <c r="I71" s="210"/>
    </row>
    <row r="72" spans="1:22" s="154" customFormat="1" ht="14.25" x14ac:dyDescent="0.2">
      <c r="A72" s="149"/>
      <c r="B72" s="238" t="s">
        <v>137</v>
      </c>
      <c r="C72" s="216"/>
      <c r="D72" s="315">
        <v>-923052.32688982482</v>
      </c>
      <c r="E72" s="248">
        <f>D76</f>
        <v>-211713.07492118393</v>
      </c>
      <c r="F72" s="226">
        <f>E76</f>
        <v>-733302.63140047493</v>
      </c>
      <c r="G72" s="226">
        <f>F76</f>
        <v>-723467.87664333254</v>
      </c>
      <c r="H72" s="394"/>
      <c r="I72" s="210"/>
    </row>
    <row r="73" spans="1:22" s="154" customFormat="1" ht="14.25" x14ac:dyDescent="0.2">
      <c r="A73" s="149"/>
      <c r="B73" s="238" t="s">
        <v>138</v>
      </c>
      <c r="C73" s="216"/>
      <c r="D73" s="236">
        <f>IF(Input!E5&gt;2023, "", D72*D70)</f>
        <v>-54464.012308934391</v>
      </c>
      <c r="E73" s="236">
        <f>E72*E70</f>
        <v>-11171.118684051946</v>
      </c>
      <c r="F73" s="236">
        <f>F72*F70</f>
        <v>-17809.384722670293</v>
      </c>
      <c r="G73" s="236">
        <f>G72*G70</f>
        <v>-26496.364251318748</v>
      </c>
      <c r="H73" s="394"/>
      <c r="I73" s="210"/>
    </row>
    <row r="74" spans="1:22" s="154" customFormat="1" ht="14.25" x14ac:dyDescent="0.2">
      <c r="A74" s="149"/>
      <c r="B74" s="249" t="s">
        <v>139</v>
      </c>
      <c r="C74" s="216"/>
      <c r="D74" s="226">
        <f>IF(Input!E5&gt;2023, "", D61)</f>
        <v>744163.493962951</v>
      </c>
      <c r="E74" s="226">
        <f>E61</f>
        <v>-497462.74122664332</v>
      </c>
      <c r="F74" s="226">
        <f>F61</f>
        <v>27314.442599613219</v>
      </c>
      <c r="G74" s="226">
        <f>G61</f>
        <v>736596.92975091934</v>
      </c>
      <c r="H74" s="394"/>
      <c r="I74" s="210"/>
    </row>
    <row r="75" spans="1:22" s="154" customFormat="1" ht="14.25" x14ac:dyDescent="0.2">
      <c r="A75" s="149"/>
      <c r="B75" s="249" t="s">
        <v>140</v>
      </c>
      <c r="C75" s="216"/>
      <c r="D75" s="236">
        <f>IF(Input!E5&gt;2023, "", D74*((1+D70)^0.5-1))</f>
        <v>21639.770314624231</v>
      </c>
      <c r="E75" s="236">
        <f>E74*((1+E70)^0.5-1)</f>
        <v>-12955.69656859572</v>
      </c>
      <c r="F75" s="236">
        <f>F74*((1+F70)^0.5-1)</f>
        <v>329.69688019942458</v>
      </c>
      <c r="G75" s="236">
        <f>G74*((1+G70)^0.5-1)</f>
        <v>13367.311143731044</v>
      </c>
      <c r="H75" s="394"/>
      <c r="I75" s="210"/>
    </row>
    <row r="76" spans="1:22" s="154" customFormat="1" ht="15" x14ac:dyDescent="0.25">
      <c r="A76" s="149"/>
      <c r="B76" s="239" t="s">
        <v>141</v>
      </c>
      <c r="C76" s="240"/>
      <c r="D76" s="224">
        <f>IF(Input!E5&gt;2023, "", SUM(D72:D75))</f>
        <v>-211713.07492118393</v>
      </c>
      <c r="E76" s="224">
        <f>SUM(E72:E75)</f>
        <v>-733302.63140047493</v>
      </c>
      <c r="F76" s="224">
        <f>SUM(F72:F75)</f>
        <v>-723467.87664333254</v>
      </c>
      <c r="G76" s="224">
        <f>SUM(G72:G75)</f>
        <v>-8.8766682893037796E-10</v>
      </c>
      <c r="I76" s="250"/>
    </row>
    <row r="77" spans="1:22" s="154" customFormat="1" ht="14.25" x14ac:dyDescent="0.2">
      <c r="A77" s="149"/>
      <c r="B77" s="241"/>
      <c r="C77" s="208"/>
      <c r="E77" s="209"/>
      <c r="H77" s="210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</row>
    <row r="78" spans="1:22" s="154" customFormat="1" ht="14.25" x14ac:dyDescent="0.2">
      <c r="A78" s="149"/>
      <c r="B78" s="317" t="s">
        <v>142</v>
      </c>
      <c r="C78" s="318"/>
      <c r="D78" s="319"/>
      <c r="E78" s="320"/>
      <c r="F78" s="319"/>
      <c r="G78" s="319"/>
      <c r="H78" s="321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</row>
    <row r="79" spans="1:22" s="154" customFormat="1" ht="14.25" x14ac:dyDescent="0.2">
      <c r="A79" s="149"/>
      <c r="B79" s="241"/>
      <c r="C79" s="208"/>
      <c r="D79" s="209"/>
      <c r="E79" s="209"/>
      <c r="H79" s="210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</row>
    <row r="80" spans="1:22" s="154" customFormat="1" ht="15" thickBot="1" x14ac:dyDescent="0.25">
      <c r="A80" s="162"/>
      <c r="B80" s="251"/>
      <c r="C80" s="252"/>
      <c r="D80" s="155"/>
      <c r="E80" s="253"/>
      <c r="F80" s="155"/>
      <c r="G80" s="155"/>
      <c r="H80" s="254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</row>
    <row r="81" spans="1:22" s="101" customFormat="1" ht="39" thickBot="1" x14ac:dyDescent="0.25">
      <c r="C81" s="122" t="str">
        <f>"Current Metering Tariffs P(t-1) for " &amp;Input!$E$8</f>
        <v>Current Metering Tariffs P(t-1) for HY21</v>
      </c>
      <c r="D81" s="122" t="str">
        <f>"Estimated Quantities   (Qt-1) for "&amp;Input!$E$8</f>
        <v>Estimated Quantities   (Qt-1) for HY21</v>
      </c>
      <c r="E81" s="122" t="str">
        <f>"Revenue                    (Pt-1 "&amp;Input!$E$8&amp;")*(Qt-1 " &amp;Input!$E$8&amp;")"</f>
        <v>Revenue                    (Pt-1 HY21)*(Qt-1 HY21)</v>
      </c>
      <c r="G81" s="67"/>
      <c r="H81" s="155"/>
      <c r="J81" s="67"/>
      <c r="K81" s="155"/>
      <c r="L81" s="155"/>
    </row>
    <row r="82" spans="1:22" s="101" customFormat="1" ht="14.25" x14ac:dyDescent="0.2">
      <c r="B82" s="127" t="s">
        <v>97</v>
      </c>
      <c r="C82" s="128" t="str">
        <f>E3&amp;"/Cust/"&amp;F3</f>
        <v>$/Cust/year</v>
      </c>
      <c r="D82" s="128" t="s">
        <v>98</v>
      </c>
      <c r="E82" s="128" t="s">
        <v>99</v>
      </c>
      <c r="G82" s="67"/>
      <c r="H82" s="155"/>
      <c r="J82" s="67"/>
      <c r="K82" s="155"/>
      <c r="L82" s="155"/>
    </row>
    <row r="83" spans="1:22" s="101" customFormat="1" ht="14.25" x14ac:dyDescent="0.2">
      <c r="B83" s="255" t="str">
        <f t="shared" ref="B83:B92" si="3">IF(C7="","",C7)</f>
        <v/>
      </c>
      <c r="C83" s="256"/>
      <c r="D83" s="132"/>
      <c r="E83" s="134">
        <f>IF($E$3="cents",C83/100,C83)*IF($F$3="day",D83*$I$3,D83)</f>
        <v>0</v>
      </c>
      <c r="G83" s="67"/>
      <c r="H83" s="155"/>
      <c r="J83" s="67"/>
      <c r="K83" s="155"/>
      <c r="L83" s="155"/>
    </row>
    <row r="84" spans="1:22" s="101" customFormat="1" ht="14.25" x14ac:dyDescent="0.2">
      <c r="B84" s="255" t="str">
        <f t="shared" si="3"/>
        <v xml:space="preserve">Single phase single element </v>
      </c>
      <c r="C84" s="257">
        <f>E8</f>
        <v>29.799999999999997</v>
      </c>
      <c r="D84" s="137">
        <v>417277.58692824893</v>
      </c>
      <c r="E84" s="133">
        <f t="shared" ref="E84:E92" si="4">IF($E$3="cents",C84/100,C84)*IF($F$3="day",D84*$I$3,D84)</f>
        <v>12434872.090461817</v>
      </c>
      <c r="F84" s="258"/>
      <c r="G84" s="67"/>
      <c r="H84" s="155"/>
      <c r="J84" s="67"/>
      <c r="K84" s="155"/>
      <c r="L84" s="155"/>
    </row>
    <row r="85" spans="1:22" s="101" customFormat="1" ht="14.25" x14ac:dyDescent="0.2">
      <c r="B85" s="255" t="str">
        <f t="shared" si="3"/>
        <v>Single phase, two element with contactor</v>
      </c>
      <c r="C85" s="257">
        <f>E9</f>
        <v>35.049999999999997</v>
      </c>
      <c r="D85" s="137">
        <v>223364.29761729488</v>
      </c>
      <c r="E85" s="133">
        <f t="shared" si="4"/>
        <v>7828918.6314861849</v>
      </c>
      <c r="F85" s="258"/>
      <c r="G85" s="67"/>
      <c r="H85" s="155"/>
      <c r="J85" s="67"/>
      <c r="K85" s="155"/>
      <c r="L85" s="155"/>
    </row>
    <row r="86" spans="1:22" s="101" customFormat="1" ht="14.25" x14ac:dyDescent="0.2">
      <c r="B86" s="255" t="str">
        <f t="shared" si="3"/>
        <v xml:space="preserve">Multiphase </v>
      </c>
      <c r="C86" s="257">
        <f>E10</f>
        <v>42.22</v>
      </c>
      <c r="D86" s="137">
        <v>68287.204105947298</v>
      </c>
      <c r="E86" s="133">
        <f t="shared" si="4"/>
        <v>2883085.7573530949</v>
      </c>
      <c r="F86" s="258"/>
      <c r="G86" s="67"/>
      <c r="H86" s="155"/>
      <c r="J86" s="67"/>
      <c r="K86" s="155"/>
      <c r="L86" s="155"/>
    </row>
    <row r="87" spans="1:22" s="101" customFormat="1" ht="14.25" x14ac:dyDescent="0.2">
      <c r="B87" s="255" t="str">
        <f t="shared" si="3"/>
        <v>Multiphase, direct connected with contactor</v>
      </c>
      <c r="C87" s="257">
        <f>E11</f>
        <v>46.824999999999996</v>
      </c>
      <c r="D87" s="137">
        <v>68600.870452301242</v>
      </c>
      <c r="E87" s="133">
        <f t="shared" si="4"/>
        <v>3212235.7589290054</v>
      </c>
      <c r="F87" s="258"/>
      <c r="G87" s="67"/>
      <c r="H87" s="155"/>
      <c r="J87" s="67"/>
      <c r="K87" s="155"/>
      <c r="L87" s="155"/>
    </row>
    <row r="88" spans="1:22" s="101" customFormat="1" ht="14.25" x14ac:dyDescent="0.2">
      <c r="B88" s="255" t="str">
        <f t="shared" si="3"/>
        <v>Multiphase Current Transformer connected</v>
      </c>
      <c r="C88" s="257">
        <f>E12</f>
        <v>60.174999999999997</v>
      </c>
      <c r="D88" s="137">
        <v>4549.0330290537895</v>
      </c>
      <c r="E88" s="133">
        <f t="shared" si="4"/>
        <v>273738.06252331176</v>
      </c>
      <c r="G88" s="67"/>
      <c r="H88" s="155"/>
      <c r="J88" s="67"/>
      <c r="K88" s="155"/>
      <c r="L88" s="155"/>
    </row>
    <row r="89" spans="1:22" s="101" customFormat="1" ht="14.25" x14ac:dyDescent="0.2">
      <c r="B89" s="255" t="str">
        <f t="shared" si="3"/>
        <v/>
      </c>
      <c r="C89" s="259"/>
      <c r="D89" s="141"/>
      <c r="E89" s="133">
        <f t="shared" si="4"/>
        <v>0</v>
      </c>
      <c r="G89" s="67"/>
      <c r="H89" s="155"/>
      <c r="J89" s="67"/>
      <c r="K89" s="155"/>
      <c r="L89" s="155"/>
    </row>
    <row r="90" spans="1:22" s="101" customFormat="1" ht="14.25" x14ac:dyDescent="0.2">
      <c r="B90" s="255" t="str">
        <f t="shared" si="3"/>
        <v/>
      </c>
      <c r="C90" s="259"/>
      <c r="D90" s="141"/>
      <c r="E90" s="133">
        <f t="shared" si="4"/>
        <v>0</v>
      </c>
      <c r="G90" s="67"/>
      <c r="H90" s="155"/>
      <c r="J90" s="67"/>
      <c r="K90" s="155"/>
      <c r="L90" s="155"/>
    </row>
    <row r="91" spans="1:22" s="101" customFormat="1" ht="14.25" x14ac:dyDescent="0.2">
      <c r="B91" s="255" t="str">
        <f t="shared" si="3"/>
        <v/>
      </c>
      <c r="C91" s="259"/>
      <c r="D91" s="141"/>
      <c r="E91" s="133">
        <f t="shared" si="4"/>
        <v>0</v>
      </c>
      <c r="G91" s="67"/>
      <c r="H91" s="155"/>
      <c r="J91" s="67"/>
      <c r="K91" s="155"/>
      <c r="L91" s="155"/>
    </row>
    <row r="92" spans="1:22" s="101" customFormat="1" ht="15" thickBot="1" x14ac:dyDescent="0.25">
      <c r="B92" s="260" t="str">
        <f t="shared" si="3"/>
        <v/>
      </c>
      <c r="C92" s="261"/>
      <c r="D92" s="144"/>
      <c r="E92" s="145">
        <f t="shared" si="4"/>
        <v>0</v>
      </c>
      <c r="G92" s="67"/>
      <c r="H92" s="155"/>
      <c r="J92" s="67"/>
      <c r="K92" s="155"/>
      <c r="L92" s="155"/>
    </row>
    <row r="93" spans="1:22" s="67" customFormat="1" ht="15" thickBot="1" x14ac:dyDescent="0.25">
      <c r="E93" s="148">
        <f>SUM(E83:E92)</f>
        <v>26632850.300753415</v>
      </c>
      <c r="H93" s="155"/>
    </row>
    <row r="94" spans="1:22" ht="13.5" thickTop="1" x14ac:dyDescent="0.2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</row>
    <row r="95" spans="1:22" x14ac:dyDescent="0.2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x14ac:dyDescent="0.2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</sheetData>
  <mergeCells count="1">
    <mergeCell ref="H24:I24"/>
  </mergeCells>
  <conditionalFormatting sqref="D50">
    <cfRule type="expression" dxfId="12" priority="7">
      <formula>$D$49</formula>
    </cfRule>
  </conditionalFormatting>
  <conditionalFormatting sqref="E50">
    <cfRule type="expression" dxfId="11" priority="6">
      <formula>$D$49</formula>
    </cfRule>
  </conditionalFormatting>
  <conditionalFormatting sqref="D72">
    <cfRule type="expression" dxfId="10" priority="5">
      <formula>$D$49</formula>
    </cfRule>
  </conditionalFormatting>
  <conditionalFormatting sqref="E72">
    <cfRule type="expression" dxfId="9" priority="4">
      <formula>$D$49</formula>
    </cfRule>
  </conditionalFormatting>
  <conditionalFormatting sqref="D60">
    <cfRule type="expression" dxfId="8" priority="3">
      <formula>$D$49</formula>
    </cfRule>
  </conditionalFormatting>
  <conditionalFormatting sqref="D27">
    <cfRule type="expression" dxfId="7" priority="1">
      <formula>"&lt;&gt;$E$27"</formula>
    </cfRule>
    <cfRule type="expression" dxfId="6" priority="2">
      <formula>$E$27</formula>
    </cfRule>
  </conditionalFormatting>
  <dataValidations count="2">
    <dataValidation type="list" allowBlank="1" showInputMessage="1" showErrorMessage="1" sqref="F3">
      <formula1>$F$1:$F$2</formula1>
    </dataValidation>
    <dataValidation type="list" allowBlank="1" showInputMessage="1" showErrorMessage="1" sqref="E3">
      <formula1>$E$1:$E$2</formula1>
    </dataValidation>
  </dataValidations>
  <pageMargins left="0.7" right="0.7" top="0.75" bottom="0.75" header="0.3" footer="0.3"/>
  <pageSetup scale="5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</sheetPr>
  <dimension ref="B1:Z102"/>
  <sheetViews>
    <sheetView showGridLines="0" zoomScale="85" zoomScaleNormal="85" workbookViewId="0">
      <pane ySplit="7" topLeftCell="A8" activePane="bottomLeft" state="frozen"/>
      <selection pane="bottomLeft" activeCell="R48" sqref="R48"/>
    </sheetView>
  </sheetViews>
  <sheetFormatPr defaultRowHeight="12.75" x14ac:dyDescent="0.2"/>
  <cols>
    <col min="1" max="1" width="9.140625" style="265"/>
    <col min="2" max="2" width="3.42578125" style="265" customWidth="1"/>
    <col min="3" max="3" width="53.7109375" style="265" customWidth="1"/>
    <col min="4" max="4" width="4" style="265" customWidth="1"/>
    <col min="5" max="8" width="9.140625" style="265"/>
    <col min="9" max="9" width="0.85546875" style="265" customWidth="1"/>
    <col min="10" max="12" width="9.140625" style="265"/>
    <col min="13" max="13" width="9.140625" style="265" customWidth="1"/>
    <col min="14" max="14" width="2.7109375" style="265" customWidth="1"/>
    <col min="15" max="15" width="3.42578125" style="265" customWidth="1"/>
    <col min="16" max="16" width="32.7109375" style="265" customWidth="1"/>
    <col min="17" max="17" width="3.5703125" style="265" customWidth="1"/>
    <col min="18" max="21" width="9.140625" style="265"/>
    <col min="22" max="22" width="0.7109375" style="265" customWidth="1"/>
    <col min="23" max="16384" width="9.140625" style="265"/>
  </cols>
  <sheetData>
    <row r="1" spans="2:26" ht="13.5" thickBot="1" x14ac:dyDescent="0.25">
      <c r="B1" s="263" t="str">
        <f>"Tariff Approval - " &amp;Input!E3</f>
        <v>Tariff Approval - AusNet Services</v>
      </c>
      <c r="C1" s="263"/>
      <c r="D1" s="264" t="s">
        <v>143</v>
      </c>
    </row>
    <row r="2" spans="2:26" ht="13.5" thickBot="1" x14ac:dyDescent="0.25">
      <c r="D2" s="266" t="s">
        <v>42</v>
      </c>
      <c r="E2" s="267">
        <f>Input!E28</f>
        <v>8.6058519793459354E-3</v>
      </c>
      <c r="G2" s="266" t="s">
        <v>144</v>
      </c>
      <c r="H2" s="268"/>
      <c r="I2" s="268"/>
      <c r="J2" s="338">
        <v>-6.6268624707600697E-3</v>
      </c>
      <c r="K2" s="338">
        <v>-6.0912696932914198E-3</v>
      </c>
      <c r="L2" s="338">
        <v>-7.3277279219734299E-3</v>
      </c>
      <c r="M2" s="339">
        <v>-9.5094682370305602E-3</v>
      </c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4" spans="2:26" x14ac:dyDescent="0.2">
      <c r="B4" s="317" t="s">
        <v>145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05"/>
      <c r="P4" s="305"/>
      <c r="Q4" s="305"/>
      <c r="R4" s="305"/>
      <c r="S4" s="305"/>
      <c r="T4" s="305"/>
      <c r="U4" s="305"/>
    </row>
    <row r="5" spans="2:26" ht="13.5" thickBot="1" x14ac:dyDescent="0.25"/>
    <row r="6" spans="2:26" x14ac:dyDescent="0.2">
      <c r="B6" s="269" t="s">
        <v>146</v>
      </c>
      <c r="C6" s="270"/>
      <c r="D6" s="271"/>
      <c r="E6" s="272" t="s">
        <v>147</v>
      </c>
      <c r="F6" s="271"/>
      <c r="G6" s="271"/>
      <c r="H6" s="273"/>
      <c r="I6" s="271"/>
      <c r="J6" s="272" t="s">
        <v>148</v>
      </c>
      <c r="K6" s="271"/>
      <c r="L6" s="271"/>
      <c r="M6" s="274"/>
      <c r="O6" s="269" t="s">
        <v>149</v>
      </c>
      <c r="P6" s="270"/>
      <c r="Q6" s="271"/>
      <c r="R6" s="272" t="s">
        <v>147</v>
      </c>
      <c r="S6" s="271"/>
      <c r="T6" s="271"/>
      <c r="U6" s="273"/>
      <c r="V6" s="271"/>
      <c r="W6" s="272" t="s">
        <v>148</v>
      </c>
      <c r="X6" s="271"/>
      <c r="Y6" s="271"/>
      <c r="Z6" s="274"/>
    </row>
    <row r="7" spans="2:26" x14ac:dyDescent="0.2">
      <c r="B7" s="275" t="s">
        <v>150</v>
      </c>
      <c r="C7" s="276"/>
      <c r="D7" s="276"/>
      <c r="E7" s="277" t="s">
        <v>71</v>
      </c>
      <c r="F7" s="276" t="s">
        <v>72</v>
      </c>
      <c r="G7" s="276" t="s">
        <v>73</v>
      </c>
      <c r="H7" s="278" t="s">
        <v>74</v>
      </c>
      <c r="I7" s="276"/>
      <c r="J7" s="277" t="s">
        <v>71</v>
      </c>
      <c r="K7" s="276" t="s">
        <v>72</v>
      </c>
      <c r="L7" s="276" t="s">
        <v>73</v>
      </c>
      <c r="M7" s="279" t="s">
        <v>74</v>
      </c>
      <c r="O7" s="275" t="s">
        <v>150</v>
      </c>
      <c r="P7" s="276"/>
      <c r="Q7" s="276"/>
      <c r="R7" s="277" t="s">
        <v>71</v>
      </c>
      <c r="S7" s="276" t="s">
        <v>72</v>
      </c>
      <c r="T7" s="276" t="s">
        <v>73</v>
      </c>
      <c r="U7" s="278" t="s">
        <v>74</v>
      </c>
      <c r="V7" s="276"/>
      <c r="W7" s="277" t="s">
        <v>71</v>
      </c>
      <c r="X7" s="276" t="s">
        <v>72</v>
      </c>
      <c r="Y7" s="276" t="s">
        <v>73</v>
      </c>
      <c r="Z7" s="279" t="s">
        <v>74</v>
      </c>
    </row>
    <row r="8" spans="2:26" x14ac:dyDescent="0.2">
      <c r="B8" s="322" t="s">
        <v>163</v>
      </c>
      <c r="C8" s="323"/>
      <c r="D8" s="324"/>
      <c r="E8" s="280" t="str">
        <f t="shared" ref="E8:E39" si="0">IF($C8="",IF($D8="","",J$2),J$2)</f>
        <v/>
      </c>
      <c r="F8" s="281" t="str">
        <f t="shared" ref="F8:F39" si="1">IF($C8="",IF($D8="","",K$2),K$2)</f>
        <v/>
      </c>
      <c r="G8" s="281" t="str">
        <f t="shared" ref="G8:G39" si="2">IF($C8="",IF($D8="","",L$2),L$2)</f>
        <v/>
      </c>
      <c r="H8" s="282" t="str">
        <f t="shared" ref="H8:H39" si="3">IF($C8="",IF($D8="","",M$2),M$2)</f>
        <v/>
      </c>
      <c r="I8" s="283"/>
      <c r="J8" s="328"/>
      <c r="K8" s="324"/>
      <c r="L8" s="324"/>
      <c r="M8" s="329"/>
      <c r="O8" s="325" t="str">
        <f>IF(Metering!B7="","",Metering!B7)</f>
        <v/>
      </c>
      <c r="P8" s="324"/>
      <c r="Q8" s="324"/>
      <c r="R8" s="332"/>
      <c r="S8" s="333"/>
      <c r="T8" s="333"/>
      <c r="U8" s="334"/>
      <c r="V8" s="283"/>
      <c r="W8" s="328"/>
      <c r="X8" s="324"/>
      <c r="Y8" s="324"/>
      <c r="Z8" s="329"/>
    </row>
    <row r="9" spans="2:26" x14ac:dyDescent="0.2">
      <c r="B9" s="325"/>
      <c r="C9" s="324" t="s">
        <v>177</v>
      </c>
      <c r="D9" s="324" t="s">
        <v>151</v>
      </c>
      <c r="E9" s="280">
        <f t="shared" si="0"/>
        <v>-6.6268624707600697E-3</v>
      </c>
      <c r="F9" s="281">
        <f t="shared" si="1"/>
        <v>-6.0912696932914198E-3</v>
      </c>
      <c r="G9" s="281">
        <f t="shared" si="2"/>
        <v>-7.3277279219734299E-3</v>
      </c>
      <c r="H9" s="282">
        <f t="shared" si="3"/>
        <v>-9.5094682370305602E-3</v>
      </c>
      <c r="I9" s="283"/>
      <c r="J9" s="328"/>
      <c r="K9" s="324"/>
      <c r="L9" s="324"/>
      <c r="M9" s="329"/>
      <c r="O9" s="325" t="s">
        <v>172</v>
      </c>
      <c r="P9" s="324"/>
      <c r="Q9" s="324"/>
      <c r="R9" s="332">
        <v>6.0983759996680265E-2</v>
      </c>
      <c r="S9" s="333">
        <v>7.149349090757684E-2</v>
      </c>
      <c r="T9" s="333">
        <v>8.1869001211503534E-2</v>
      </c>
      <c r="U9" s="334">
        <v>9.1411925923201132E-2</v>
      </c>
      <c r="V9" s="283"/>
      <c r="W9" s="328"/>
      <c r="X9" s="324"/>
      <c r="Y9" s="324"/>
      <c r="Z9" s="329"/>
    </row>
    <row r="10" spans="2:26" x14ac:dyDescent="0.2">
      <c r="B10" s="325"/>
      <c r="C10" s="324"/>
      <c r="D10" s="324" t="s">
        <v>152</v>
      </c>
      <c r="E10" s="280">
        <f t="shared" si="0"/>
        <v>-6.6268624707600697E-3</v>
      </c>
      <c r="F10" s="281">
        <f t="shared" si="1"/>
        <v>-6.0912696932914198E-3</v>
      </c>
      <c r="G10" s="281">
        <f t="shared" si="2"/>
        <v>-7.3277279219734299E-3</v>
      </c>
      <c r="H10" s="282">
        <f t="shared" si="3"/>
        <v>-9.5094682370305602E-3</v>
      </c>
      <c r="I10" s="283"/>
      <c r="J10" s="328"/>
      <c r="K10" s="324"/>
      <c r="L10" s="324"/>
      <c r="M10" s="329"/>
      <c r="O10" s="325" t="s">
        <v>222</v>
      </c>
      <c r="P10" s="324"/>
      <c r="Q10" s="324"/>
      <c r="R10" s="332">
        <v>6.0243943424323043E-2</v>
      </c>
      <c r="S10" s="333">
        <v>7.0768996327142175E-2</v>
      </c>
      <c r="T10" s="333">
        <v>8.1142044692344317E-2</v>
      </c>
      <c r="U10" s="334">
        <v>8.5920748531195135E-2</v>
      </c>
      <c r="V10" s="283"/>
      <c r="W10" s="328"/>
      <c r="X10" s="324"/>
      <c r="Y10" s="324"/>
      <c r="Z10" s="329"/>
    </row>
    <row r="11" spans="2:26" x14ac:dyDescent="0.2">
      <c r="B11" s="325"/>
      <c r="C11" s="324" t="s">
        <v>178</v>
      </c>
      <c r="D11" s="324" t="s">
        <v>151</v>
      </c>
      <c r="E11" s="280">
        <f t="shared" si="0"/>
        <v>-6.6268624707600697E-3</v>
      </c>
      <c r="F11" s="281">
        <f t="shared" si="1"/>
        <v>-6.0912696932914198E-3</v>
      </c>
      <c r="G11" s="281">
        <f t="shared" si="2"/>
        <v>-7.3277279219734299E-3</v>
      </c>
      <c r="H11" s="282">
        <f t="shared" si="3"/>
        <v>-9.5094682370305602E-3</v>
      </c>
      <c r="I11" s="283"/>
      <c r="J11" s="328"/>
      <c r="K11" s="324"/>
      <c r="L11" s="324"/>
      <c r="M11" s="329"/>
      <c r="O11" s="325" t="s">
        <v>174</v>
      </c>
      <c r="P11" s="324"/>
      <c r="Q11" s="324"/>
      <c r="R11" s="332">
        <v>6.0614840440545881E-2</v>
      </c>
      <c r="S11" s="333">
        <v>7.114216365230086E-2</v>
      </c>
      <c r="T11" s="333">
        <v>8.1526336364162399E-2</v>
      </c>
      <c r="U11" s="334">
        <v>8.9133218873365783E-2</v>
      </c>
      <c r="V11" s="283"/>
      <c r="W11" s="328"/>
      <c r="X11" s="324"/>
      <c r="Y11" s="324"/>
      <c r="Z11" s="329"/>
    </row>
    <row r="12" spans="2:26" x14ac:dyDescent="0.2">
      <c r="B12" s="325"/>
      <c r="C12" s="324"/>
      <c r="D12" s="324" t="s">
        <v>152</v>
      </c>
      <c r="E12" s="280">
        <f t="shared" si="0"/>
        <v>-6.6268624707600697E-3</v>
      </c>
      <c r="F12" s="281">
        <f t="shared" si="1"/>
        <v>-6.0912696932914198E-3</v>
      </c>
      <c r="G12" s="281">
        <f t="shared" si="2"/>
        <v>-7.3277279219734299E-3</v>
      </c>
      <c r="H12" s="282">
        <f t="shared" si="3"/>
        <v>-9.5094682370305602E-3</v>
      </c>
      <c r="I12" s="283"/>
      <c r="J12" s="328"/>
      <c r="K12" s="324"/>
      <c r="L12" s="324"/>
      <c r="M12" s="329"/>
      <c r="O12" s="325" t="s">
        <v>223</v>
      </c>
      <c r="P12" s="324"/>
      <c r="Q12" s="324"/>
      <c r="R12" s="332">
        <v>6.0614846726931071E-2</v>
      </c>
      <c r="S12" s="333">
        <v>7.1142169785220366E-2</v>
      </c>
      <c r="T12" s="333">
        <v>8.1526342467421187E-2</v>
      </c>
      <c r="U12" s="334">
        <v>8.9133263389902018E-2</v>
      </c>
      <c r="V12" s="283"/>
      <c r="W12" s="328"/>
      <c r="X12" s="324"/>
      <c r="Y12" s="324"/>
      <c r="Z12" s="329"/>
    </row>
    <row r="13" spans="2:26" x14ac:dyDescent="0.2">
      <c r="B13" s="325"/>
      <c r="C13" s="324" t="s">
        <v>179</v>
      </c>
      <c r="D13" s="324"/>
      <c r="E13" s="280">
        <f t="shared" si="0"/>
        <v>-6.6268624707600697E-3</v>
      </c>
      <c r="F13" s="281">
        <f t="shared" si="1"/>
        <v>-6.0912696932914198E-3</v>
      </c>
      <c r="G13" s="281">
        <f t="shared" si="2"/>
        <v>-7.3277279219734299E-3</v>
      </c>
      <c r="H13" s="282">
        <f t="shared" si="3"/>
        <v>-9.5094682370305602E-3</v>
      </c>
      <c r="I13" s="283"/>
      <c r="J13" s="328"/>
      <c r="K13" s="324"/>
      <c r="L13" s="324"/>
      <c r="M13" s="329"/>
      <c r="O13" s="325" t="s">
        <v>224</v>
      </c>
      <c r="P13" s="324"/>
      <c r="Q13" s="324"/>
      <c r="R13" s="332">
        <v>6.0674747733868939E-2</v>
      </c>
      <c r="S13" s="333">
        <v>7.1182470040082824E-2</v>
      </c>
      <c r="T13" s="333">
        <v>8.1556831352042836E-2</v>
      </c>
      <c r="U13" s="334">
        <v>8.9430529626773447E-2</v>
      </c>
      <c r="V13" s="283"/>
      <c r="W13" s="328"/>
      <c r="X13" s="324"/>
      <c r="Y13" s="324"/>
      <c r="Z13" s="329"/>
    </row>
    <row r="14" spans="2:26" x14ac:dyDescent="0.2">
      <c r="B14" s="325"/>
      <c r="C14" s="324" t="s">
        <v>180</v>
      </c>
      <c r="D14" s="324" t="s">
        <v>151</v>
      </c>
      <c r="E14" s="280">
        <f t="shared" si="0"/>
        <v>-6.6268624707600697E-3</v>
      </c>
      <c r="F14" s="281">
        <f t="shared" si="1"/>
        <v>-6.0912696932914198E-3</v>
      </c>
      <c r="G14" s="281">
        <f t="shared" si="2"/>
        <v>-7.3277279219734299E-3</v>
      </c>
      <c r="H14" s="282">
        <f t="shared" si="3"/>
        <v>-9.5094682370305602E-3</v>
      </c>
      <c r="I14" s="283"/>
      <c r="J14" s="328"/>
      <c r="K14" s="324"/>
      <c r="L14" s="324"/>
      <c r="M14" s="329"/>
      <c r="O14" s="325" t="str">
        <f>IF(Metering!B13="","",Metering!B13)</f>
        <v/>
      </c>
      <c r="P14" s="324"/>
      <c r="Q14" s="324"/>
      <c r="R14" s="332"/>
      <c r="S14" s="333"/>
      <c r="T14" s="333"/>
      <c r="U14" s="334"/>
      <c r="V14" s="283"/>
      <c r="W14" s="328"/>
      <c r="X14" s="324"/>
      <c r="Y14" s="324"/>
      <c r="Z14" s="329"/>
    </row>
    <row r="15" spans="2:26" x14ac:dyDescent="0.2">
      <c r="B15" s="325"/>
      <c r="C15" s="324"/>
      <c r="D15" s="324" t="s">
        <v>152</v>
      </c>
      <c r="E15" s="280">
        <f t="shared" si="0"/>
        <v>-6.6268624707600697E-3</v>
      </c>
      <c r="F15" s="281">
        <f t="shared" si="1"/>
        <v>-6.0912696932914198E-3</v>
      </c>
      <c r="G15" s="281">
        <f t="shared" si="2"/>
        <v>-7.3277279219734299E-3</v>
      </c>
      <c r="H15" s="282">
        <f t="shared" si="3"/>
        <v>-9.5094682370305602E-3</v>
      </c>
      <c r="I15" s="283"/>
      <c r="J15" s="328"/>
      <c r="K15" s="324"/>
      <c r="L15" s="324"/>
      <c r="M15" s="329"/>
      <c r="O15" s="325" t="str">
        <f>IF(Metering!B14="","",Metering!B14)</f>
        <v/>
      </c>
      <c r="P15" s="324"/>
      <c r="Q15" s="324"/>
      <c r="R15" s="332"/>
      <c r="S15" s="333"/>
      <c r="T15" s="333"/>
      <c r="U15" s="334"/>
      <c r="V15" s="283"/>
      <c r="W15" s="328"/>
      <c r="X15" s="324"/>
      <c r="Y15" s="324"/>
      <c r="Z15" s="329"/>
    </row>
    <row r="16" spans="2:26" x14ac:dyDescent="0.2">
      <c r="B16" s="325"/>
      <c r="C16" s="324" t="s">
        <v>181</v>
      </c>
      <c r="D16" s="324" t="s">
        <v>151</v>
      </c>
      <c r="E16" s="280">
        <f t="shared" si="0"/>
        <v>-6.6268624707600697E-3</v>
      </c>
      <c r="F16" s="281">
        <f t="shared" si="1"/>
        <v>-6.0912696932914198E-3</v>
      </c>
      <c r="G16" s="281">
        <f t="shared" si="2"/>
        <v>-7.3277279219734299E-3</v>
      </c>
      <c r="H16" s="282">
        <f t="shared" si="3"/>
        <v>-9.5094682370305602E-3</v>
      </c>
      <c r="I16" s="283"/>
      <c r="J16" s="328"/>
      <c r="K16" s="324"/>
      <c r="L16" s="324"/>
      <c r="M16" s="329"/>
      <c r="O16" s="325" t="str">
        <f>IF(Metering!B15="","",Metering!B15)</f>
        <v/>
      </c>
      <c r="P16" s="324"/>
      <c r="Q16" s="324"/>
      <c r="R16" s="332"/>
      <c r="S16" s="333"/>
      <c r="T16" s="333"/>
      <c r="U16" s="334"/>
      <c r="V16" s="283"/>
      <c r="W16" s="328"/>
      <c r="X16" s="324"/>
      <c r="Y16" s="324"/>
      <c r="Z16" s="329"/>
    </row>
    <row r="17" spans="2:26" x14ac:dyDescent="0.2">
      <c r="B17" s="325"/>
      <c r="C17" s="324"/>
      <c r="D17" s="324" t="s">
        <v>152</v>
      </c>
      <c r="E17" s="280">
        <f>IF($C17="",IF($D17="","",J$2),J$2)</f>
        <v>-6.6268624707600697E-3</v>
      </c>
      <c r="F17" s="281">
        <f t="shared" si="1"/>
        <v>-6.0912696932914198E-3</v>
      </c>
      <c r="G17" s="281">
        <f t="shared" si="2"/>
        <v>-7.3277279219734299E-3</v>
      </c>
      <c r="H17" s="282">
        <f t="shared" si="3"/>
        <v>-9.5094682370305602E-3</v>
      </c>
      <c r="I17" s="283"/>
      <c r="J17" s="328"/>
      <c r="K17" s="324"/>
      <c r="L17" s="324"/>
      <c r="M17" s="329"/>
      <c r="O17" s="325" t="str">
        <f>IF(Metering!B16="","",Metering!B16)</f>
        <v/>
      </c>
      <c r="P17" s="324"/>
      <c r="Q17" s="324"/>
      <c r="R17" s="332"/>
      <c r="S17" s="333"/>
      <c r="T17" s="333"/>
      <c r="U17" s="334"/>
      <c r="V17" s="283"/>
      <c r="W17" s="328"/>
      <c r="X17" s="324"/>
      <c r="Y17" s="324"/>
      <c r="Z17" s="329"/>
    </row>
    <row r="18" spans="2:26" x14ac:dyDescent="0.2">
      <c r="B18" s="325"/>
      <c r="C18" s="324" t="s">
        <v>182</v>
      </c>
      <c r="D18" s="324" t="s">
        <v>151</v>
      </c>
      <c r="E18" s="280">
        <f t="shared" si="0"/>
        <v>-6.6268624707600697E-3</v>
      </c>
      <c r="F18" s="281">
        <f t="shared" si="1"/>
        <v>-6.0912696932914198E-3</v>
      </c>
      <c r="G18" s="281">
        <f t="shared" si="2"/>
        <v>-7.3277279219734299E-3</v>
      </c>
      <c r="H18" s="282">
        <f t="shared" si="3"/>
        <v>-9.5094682370305602E-3</v>
      </c>
      <c r="I18" s="283"/>
      <c r="J18" s="328"/>
      <c r="K18" s="324"/>
      <c r="L18" s="324"/>
      <c r="M18" s="329"/>
      <c r="O18" s="325" t="str">
        <f>IF(Metering!B17="","",Metering!B17)</f>
        <v/>
      </c>
      <c r="P18" s="324"/>
      <c r="Q18" s="324"/>
      <c r="R18" s="332"/>
      <c r="S18" s="333"/>
      <c r="T18" s="333"/>
      <c r="U18" s="334"/>
      <c r="V18" s="283"/>
      <c r="W18" s="328"/>
      <c r="X18" s="324"/>
      <c r="Y18" s="324"/>
      <c r="Z18" s="329"/>
    </row>
    <row r="19" spans="2:26" x14ac:dyDescent="0.2">
      <c r="B19" s="325"/>
      <c r="C19" s="324"/>
      <c r="D19" s="324" t="s">
        <v>152</v>
      </c>
      <c r="E19" s="280">
        <f t="shared" si="0"/>
        <v>-6.6268624707600697E-3</v>
      </c>
      <c r="F19" s="281">
        <f t="shared" si="1"/>
        <v>-6.0912696932914198E-3</v>
      </c>
      <c r="G19" s="281">
        <f t="shared" si="2"/>
        <v>-7.3277279219734299E-3</v>
      </c>
      <c r="H19" s="282">
        <f t="shared" si="3"/>
        <v>-9.5094682370305602E-3</v>
      </c>
      <c r="I19" s="283"/>
      <c r="J19" s="328"/>
      <c r="K19" s="324"/>
      <c r="L19" s="324"/>
      <c r="M19" s="329"/>
      <c r="O19" s="325"/>
      <c r="P19" s="324"/>
      <c r="Q19" s="324"/>
      <c r="R19" s="332"/>
      <c r="S19" s="333"/>
      <c r="T19" s="333"/>
      <c r="U19" s="334"/>
      <c r="V19" s="283"/>
      <c r="W19" s="328"/>
      <c r="X19" s="324"/>
      <c r="Y19" s="324"/>
      <c r="Z19" s="329"/>
    </row>
    <row r="20" spans="2:26" x14ac:dyDescent="0.2">
      <c r="B20" s="325"/>
      <c r="C20" s="324" t="s">
        <v>183</v>
      </c>
      <c r="D20" s="324"/>
      <c r="E20" s="280">
        <f t="shared" si="0"/>
        <v>-6.6268624707600697E-3</v>
      </c>
      <c r="F20" s="281">
        <f t="shared" si="1"/>
        <v>-6.0912696932914198E-3</v>
      </c>
      <c r="G20" s="281">
        <f t="shared" si="2"/>
        <v>-7.3277279219734299E-3</v>
      </c>
      <c r="H20" s="282">
        <f t="shared" si="3"/>
        <v>-9.5094682370305602E-3</v>
      </c>
      <c r="I20" s="283"/>
      <c r="J20" s="328"/>
      <c r="K20" s="324"/>
      <c r="L20" s="324"/>
      <c r="M20" s="329"/>
      <c r="O20" s="325"/>
      <c r="P20" s="324"/>
      <c r="Q20" s="324"/>
      <c r="R20" s="332"/>
      <c r="S20" s="333"/>
      <c r="T20" s="333"/>
      <c r="U20" s="334"/>
      <c r="V20" s="283"/>
      <c r="W20" s="328"/>
      <c r="X20" s="324"/>
      <c r="Y20" s="324"/>
      <c r="Z20" s="329"/>
    </row>
    <row r="21" spans="2:26" x14ac:dyDescent="0.2">
      <c r="B21" s="325"/>
      <c r="C21" s="324" t="s">
        <v>184</v>
      </c>
      <c r="D21" s="324" t="s">
        <v>151</v>
      </c>
      <c r="E21" s="280">
        <f t="shared" si="0"/>
        <v>-6.6268624707600697E-3</v>
      </c>
      <c r="F21" s="281">
        <f t="shared" si="1"/>
        <v>-6.0912696932914198E-3</v>
      </c>
      <c r="G21" s="281">
        <f t="shared" si="2"/>
        <v>-7.3277279219734299E-3</v>
      </c>
      <c r="H21" s="282">
        <f t="shared" si="3"/>
        <v>-9.5094682370305602E-3</v>
      </c>
      <c r="I21" s="283"/>
      <c r="J21" s="328"/>
      <c r="K21" s="324"/>
      <c r="L21" s="324"/>
      <c r="M21" s="329"/>
      <c r="O21" s="325"/>
      <c r="P21" s="324"/>
      <c r="Q21" s="324"/>
      <c r="R21" s="332"/>
      <c r="S21" s="333"/>
      <c r="T21" s="333"/>
      <c r="U21" s="334"/>
      <c r="V21" s="283"/>
      <c r="W21" s="328"/>
      <c r="X21" s="324"/>
      <c r="Y21" s="324"/>
      <c r="Z21" s="329"/>
    </row>
    <row r="22" spans="2:26" ht="13.5" thickBot="1" x14ac:dyDescent="0.25">
      <c r="B22" s="325"/>
      <c r="C22" s="324"/>
      <c r="D22" s="324" t="s">
        <v>152</v>
      </c>
      <c r="E22" s="280">
        <f t="shared" si="0"/>
        <v>-6.6268624707600697E-3</v>
      </c>
      <c r="F22" s="281">
        <f t="shared" si="1"/>
        <v>-6.0912696932914198E-3</v>
      </c>
      <c r="G22" s="281">
        <f t="shared" si="2"/>
        <v>-7.3277279219734299E-3</v>
      </c>
      <c r="H22" s="282">
        <f t="shared" si="3"/>
        <v>-9.5094682370305602E-3</v>
      </c>
      <c r="I22" s="283"/>
      <c r="J22" s="328"/>
      <c r="K22" s="324"/>
      <c r="L22" s="324"/>
      <c r="M22" s="329"/>
      <c r="O22" s="326"/>
      <c r="P22" s="327"/>
      <c r="Q22" s="327"/>
      <c r="R22" s="335"/>
      <c r="S22" s="336"/>
      <c r="T22" s="336"/>
      <c r="U22" s="337"/>
      <c r="V22" s="284"/>
      <c r="W22" s="330"/>
      <c r="X22" s="327"/>
      <c r="Y22" s="327"/>
      <c r="Z22" s="331"/>
    </row>
    <row r="23" spans="2:26" x14ac:dyDescent="0.2">
      <c r="B23" s="325"/>
      <c r="C23" s="324" t="s">
        <v>185</v>
      </c>
      <c r="D23" s="324" t="s">
        <v>151</v>
      </c>
      <c r="E23" s="280">
        <f t="shared" si="0"/>
        <v>-6.6268624707600697E-3</v>
      </c>
      <c r="F23" s="281">
        <f t="shared" si="1"/>
        <v>-6.0912696932914198E-3</v>
      </c>
      <c r="G23" s="281">
        <f t="shared" si="2"/>
        <v>-7.3277279219734299E-3</v>
      </c>
      <c r="H23" s="282">
        <f t="shared" si="3"/>
        <v>-9.5094682370305602E-3</v>
      </c>
      <c r="I23" s="283"/>
      <c r="J23" s="328"/>
      <c r="K23" s="324"/>
      <c r="L23" s="324"/>
      <c r="M23" s="329"/>
    </row>
    <row r="24" spans="2:26" x14ac:dyDescent="0.2">
      <c r="B24" s="325"/>
      <c r="C24" s="324"/>
      <c r="D24" s="324" t="s">
        <v>152</v>
      </c>
      <c r="E24" s="280">
        <f t="shared" si="0"/>
        <v>-6.6268624707600697E-3</v>
      </c>
      <c r="F24" s="281">
        <f t="shared" si="1"/>
        <v>-6.0912696932914198E-3</v>
      </c>
      <c r="G24" s="281">
        <f t="shared" si="2"/>
        <v>-7.3277279219734299E-3</v>
      </c>
      <c r="H24" s="282">
        <f t="shared" si="3"/>
        <v>-9.5094682370305602E-3</v>
      </c>
      <c r="I24" s="283"/>
      <c r="J24" s="328"/>
      <c r="K24" s="324"/>
      <c r="L24" s="324"/>
      <c r="M24" s="329"/>
    </row>
    <row r="25" spans="2:26" x14ac:dyDescent="0.2">
      <c r="B25" s="325"/>
      <c r="C25" s="324" t="s">
        <v>186</v>
      </c>
      <c r="D25" s="324" t="s">
        <v>151</v>
      </c>
      <c r="E25" s="280">
        <f t="shared" si="0"/>
        <v>-6.6268624707600697E-3</v>
      </c>
      <c r="F25" s="281">
        <f t="shared" si="1"/>
        <v>-6.0912696932914198E-3</v>
      </c>
      <c r="G25" s="281">
        <f t="shared" si="2"/>
        <v>-7.3277279219734299E-3</v>
      </c>
      <c r="H25" s="282">
        <f t="shared" si="3"/>
        <v>-9.5094682370305602E-3</v>
      </c>
      <c r="I25" s="283"/>
      <c r="J25" s="328"/>
      <c r="K25" s="324"/>
      <c r="L25" s="324"/>
      <c r="M25" s="329"/>
    </row>
    <row r="26" spans="2:26" ht="13.5" thickBot="1" x14ac:dyDescent="0.25">
      <c r="B26" s="325"/>
      <c r="C26" s="324"/>
      <c r="D26" s="324" t="s">
        <v>152</v>
      </c>
      <c r="E26" s="280">
        <f t="shared" si="0"/>
        <v>-6.6268624707600697E-3</v>
      </c>
      <c r="F26" s="281">
        <f t="shared" si="1"/>
        <v>-6.0912696932914198E-3</v>
      </c>
      <c r="G26" s="281">
        <f t="shared" si="2"/>
        <v>-7.3277279219734299E-3</v>
      </c>
      <c r="H26" s="282">
        <f t="shared" si="3"/>
        <v>-9.5094682370305602E-3</v>
      </c>
      <c r="I26" s="283"/>
      <c r="J26" s="328"/>
      <c r="K26" s="324"/>
      <c r="L26" s="324"/>
      <c r="M26" s="329"/>
    </row>
    <row r="27" spans="2:26" x14ac:dyDescent="0.2">
      <c r="B27" s="325"/>
      <c r="C27" s="324" t="s">
        <v>187</v>
      </c>
      <c r="D27" s="324"/>
      <c r="E27" s="280">
        <f t="shared" si="0"/>
        <v>-6.6268624707600697E-3</v>
      </c>
      <c r="F27" s="281">
        <f t="shared" si="1"/>
        <v>-6.0912696932914198E-3</v>
      </c>
      <c r="G27" s="281">
        <f t="shared" si="2"/>
        <v>-7.3277279219734299E-3</v>
      </c>
      <c r="H27" s="282">
        <f t="shared" si="3"/>
        <v>-9.5094682370305602E-3</v>
      </c>
      <c r="I27" s="283"/>
      <c r="J27" s="328"/>
      <c r="K27" s="324"/>
      <c r="L27" s="324"/>
      <c r="M27" s="329"/>
      <c r="O27" s="269" t="s">
        <v>153</v>
      </c>
      <c r="P27" s="270"/>
      <c r="Q27" s="271"/>
      <c r="R27" s="272" t="s">
        <v>147</v>
      </c>
      <c r="S27" s="271"/>
      <c r="T27" s="271"/>
      <c r="U27" s="274"/>
    </row>
    <row r="28" spans="2:26" x14ac:dyDescent="0.2">
      <c r="B28" s="325"/>
      <c r="C28" s="324" t="s">
        <v>188</v>
      </c>
      <c r="D28" s="324" t="s">
        <v>151</v>
      </c>
      <c r="E28" s="280">
        <f t="shared" si="0"/>
        <v>-6.6268624707600697E-3</v>
      </c>
      <c r="F28" s="281">
        <f t="shared" si="1"/>
        <v>-6.0912696932914198E-3</v>
      </c>
      <c r="G28" s="281">
        <f t="shared" si="2"/>
        <v>-7.3277279219734299E-3</v>
      </c>
      <c r="H28" s="282">
        <f t="shared" si="3"/>
        <v>-9.5094682370305602E-3</v>
      </c>
      <c r="I28" s="283"/>
      <c r="J28" s="328"/>
      <c r="K28" s="324"/>
      <c r="L28" s="324"/>
      <c r="M28" s="329"/>
      <c r="O28" s="275" t="s">
        <v>150</v>
      </c>
      <c r="P28" s="276"/>
      <c r="Q28" s="276"/>
      <c r="R28" s="277" t="s">
        <v>71</v>
      </c>
      <c r="S28" s="276" t="s">
        <v>72</v>
      </c>
      <c r="T28" s="276" t="s">
        <v>73</v>
      </c>
      <c r="U28" s="279" t="s">
        <v>74</v>
      </c>
    </row>
    <row r="29" spans="2:26" x14ac:dyDescent="0.2">
      <c r="B29" s="325"/>
      <c r="C29" s="324"/>
      <c r="D29" s="324"/>
      <c r="E29" s="280" t="str">
        <f t="shared" si="0"/>
        <v/>
      </c>
      <c r="F29" s="281" t="str">
        <f t="shared" si="1"/>
        <v/>
      </c>
      <c r="G29" s="281" t="str">
        <f t="shared" si="2"/>
        <v/>
      </c>
      <c r="H29" s="282" t="str">
        <f t="shared" si="3"/>
        <v/>
      </c>
      <c r="I29" s="283"/>
      <c r="J29" s="328"/>
      <c r="K29" s="324"/>
      <c r="L29" s="324"/>
      <c r="M29" s="329"/>
      <c r="O29" s="325" t="s">
        <v>209</v>
      </c>
      <c r="P29" s="324"/>
      <c r="Q29" s="324"/>
      <c r="R29" s="280" t="str">
        <f t="shared" ref="R29:U44" si="4">IF($P29="",IF($Q29="","",J$2),J$2)</f>
        <v/>
      </c>
      <c r="S29" s="281" t="str">
        <f t="shared" si="4"/>
        <v/>
      </c>
      <c r="T29" s="281" t="str">
        <f t="shared" si="4"/>
        <v/>
      </c>
      <c r="U29" s="285" t="str">
        <f t="shared" si="4"/>
        <v/>
      </c>
    </row>
    <row r="30" spans="2:26" x14ac:dyDescent="0.2">
      <c r="B30" s="325" t="s">
        <v>154</v>
      </c>
      <c r="C30" s="324"/>
      <c r="D30" s="324"/>
      <c r="E30" s="280" t="str">
        <f t="shared" si="0"/>
        <v/>
      </c>
      <c r="F30" s="281" t="str">
        <f t="shared" si="1"/>
        <v/>
      </c>
      <c r="G30" s="281" t="str">
        <f t="shared" si="2"/>
        <v/>
      </c>
      <c r="H30" s="282" t="str">
        <f t="shared" si="3"/>
        <v/>
      </c>
      <c r="I30" s="283"/>
      <c r="J30" s="328"/>
      <c r="K30" s="324"/>
      <c r="L30" s="324"/>
      <c r="M30" s="329"/>
      <c r="O30" s="325"/>
      <c r="P30" s="324" t="s">
        <v>195</v>
      </c>
      <c r="Q30" s="324" t="s">
        <v>151</v>
      </c>
      <c r="R30" s="280">
        <f t="shared" si="4"/>
        <v>-6.6268624707600697E-3</v>
      </c>
      <c r="S30" s="281">
        <f t="shared" si="4"/>
        <v>-6.0912696932914198E-3</v>
      </c>
      <c r="T30" s="281">
        <f t="shared" si="4"/>
        <v>-7.3277279219734299E-3</v>
      </c>
      <c r="U30" s="285">
        <f t="shared" si="4"/>
        <v>-9.5094682370305602E-3</v>
      </c>
    </row>
    <row r="31" spans="2:26" x14ac:dyDescent="0.2">
      <c r="B31" s="325"/>
      <c r="C31" s="324" t="s">
        <v>189</v>
      </c>
      <c r="D31" s="324"/>
      <c r="E31" s="280">
        <f t="shared" si="0"/>
        <v>-6.6268624707600697E-3</v>
      </c>
      <c r="F31" s="281">
        <f t="shared" si="1"/>
        <v>-6.0912696932914198E-3</v>
      </c>
      <c r="G31" s="281">
        <f t="shared" si="2"/>
        <v>-7.3277279219734299E-3</v>
      </c>
      <c r="H31" s="282">
        <f t="shared" si="3"/>
        <v>-9.5094682370305602E-3</v>
      </c>
      <c r="I31" s="283"/>
      <c r="J31" s="328"/>
      <c r="K31" s="324"/>
      <c r="L31" s="324"/>
      <c r="M31" s="329"/>
      <c r="O31" s="325"/>
      <c r="P31" s="324"/>
      <c r="Q31" s="324" t="s">
        <v>152</v>
      </c>
      <c r="R31" s="280">
        <f t="shared" si="4"/>
        <v>-6.6268624707600697E-3</v>
      </c>
      <c r="S31" s="281">
        <f t="shared" si="4"/>
        <v>-6.0912696932914198E-3</v>
      </c>
      <c r="T31" s="281">
        <f t="shared" si="4"/>
        <v>-7.3277279219734299E-3</v>
      </c>
      <c r="U31" s="285">
        <f t="shared" si="4"/>
        <v>-9.5094682370305602E-3</v>
      </c>
    </row>
    <row r="32" spans="2:26" x14ac:dyDescent="0.2">
      <c r="B32" s="325"/>
      <c r="C32" s="324" t="s">
        <v>190</v>
      </c>
      <c r="D32" s="324"/>
      <c r="E32" s="280">
        <f t="shared" si="0"/>
        <v>-6.6268624707600697E-3</v>
      </c>
      <c r="F32" s="281">
        <f t="shared" si="1"/>
        <v>-6.0912696932914198E-3</v>
      </c>
      <c r="G32" s="281">
        <f t="shared" si="2"/>
        <v>-7.3277279219734299E-3</v>
      </c>
      <c r="H32" s="282">
        <f t="shared" si="3"/>
        <v>-9.5094682370305602E-3</v>
      </c>
      <c r="I32" s="283"/>
      <c r="J32" s="328"/>
      <c r="K32" s="324"/>
      <c r="L32" s="324"/>
      <c r="M32" s="329"/>
      <c r="O32" s="325"/>
      <c r="P32" s="324" t="s">
        <v>196</v>
      </c>
      <c r="Q32" s="324" t="s">
        <v>151</v>
      </c>
      <c r="R32" s="280">
        <f t="shared" si="4"/>
        <v>-6.6268624707600697E-3</v>
      </c>
      <c r="S32" s="281">
        <f t="shared" si="4"/>
        <v>-6.0912696932914198E-3</v>
      </c>
      <c r="T32" s="281">
        <f t="shared" si="4"/>
        <v>-7.3277279219734299E-3</v>
      </c>
      <c r="U32" s="285">
        <f t="shared" si="4"/>
        <v>-9.5094682370305602E-3</v>
      </c>
    </row>
    <row r="33" spans="2:21" x14ac:dyDescent="0.2">
      <c r="B33" s="325"/>
      <c r="C33" s="324" t="s">
        <v>191</v>
      </c>
      <c r="D33" s="324"/>
      <c r="E33" s="280">
        <f t="shared" si="0"/>
        <v>-6.6268624707600697E-3</v>
      </c>
      <c r="F33" s="281">
        <f t="shared" si="1"/>
        <v>-6.0912696932914198E-3</v>
      </c>
      <c r="G33" s="281">
        <f t="shared" si="2"/>
        <v>-7.3277279219734299E-3</v>
      </c>
      <c r="H33" s="282">
        <f t="shared" si="3"/>
        <v>-9.5094682370305602E-3</v>
      </c>
      <c r="I33" s="283"/>
      <c r="J33" s="328"/>
      <c r="K33" s="324"/>
      <c r="L33" s="324"/>
      <c r="M33" s="329"/>
      <c r="O33" s="325"/>
      <c r="P33" s="324"/>
      <c r="Q33" s="324" t="s">
        <v>152</v>
      </c>
      <c r="R33" s="280">
        <f t="shared" si="4"/>
        <v>-6.6268624707600697E-3</v>
      </c>
      <c r="S33" s="281">
        <f t="shared" si="4"/>
        <v>-6.0912696932914198E-3</v>
      </c>
      <c r="T33" s="281">
        <f t="shared" si="4"/>
        <v>-7.3277279219734299E-3</v>
      </c>
      <c r="U33" s="285">
        <f t="shared" si="4"/>
        <v>-9.5094682370305602E-3</v>
      </c>
    </row>
    <row r="34" spans="2:21" x14ac:dyDescent="0.2">
      <c r="B34" s="325"/>
      <c r="C34" s="324" t="s">
        <v>192</v>
      </c>
      <c r="D34" s="324"/>
      <c r="E34" s="280">
        <f t="shared" si="0"/>
        <v>-6.6268624707600697E-3</v>
      </c>
      <c r="F34" s="281">
        <f t="shared" si="1"/>
        <v>-6.0912696932914198E-3</v>
      </c>
      <c r="G34" s="281">
        <f t="shared" si="2"/>
        <v>-7.3277279219734299E-3</v>
      </c>
      <c r="H34" s="282">
        <f t="shared" si="3"/>
        <v>-9.5094682370305602E-3</v>
      </c>
      <c r="I34" s="283"/>
      <c r="J34" s="328"/>
      <c r="K34" s="324"/>
      <c r="L34" s="324"/>
      <c r="M34" s="329"/>
      <c r="O34" s="325"/>
      <c r="P34" s="324" t="s">
        <v>197</v>
      </c>
      <c r="Q34" s="324" t="s">
        <v>151</v>
      </c>
      <c r="R34" s="280">
        <f t="shared" si="4"/>
        <v>-6.6268624707600697E-3</v>
      </c>
      <c r="S34" s="281">
        <f t="shared" si="4"/>
        <v>-6.0912696932914198E-3</v>
      </c>
      <c r="T34" s="281">
        <f t="shared" si="4"/>
        <v>-7.3277279219734299E-3</v>
      </c>
      <c r="U34" s="285">
        <f t="shared" si="4"/>
        <v>-9.5094682370305602E-3</v>
      </c>
    </row>
    <row r="35" spans="2:21" x14ac:dyDescent="0.2">
      <c r="B35" s="325"/>
      <c r="C35" s="324" t="s">
        <v>193</v>
      </c>
      <c r="D35" s="324"/>
      <c r="E35" s="280">
        <f t="shared" si="0"/>
        <v>-6.6268624707600697E-3</v>
      </c>
      <c r="F35" s="281">
        <f t="shared" si="1"/>
        <v>-6.0912696932914198E-3</v>
      </c>
      <c r="G35" s="281">
        <f t="shared" si="2"/>
        <v>-7.3277279219734299E-3</v>
      </c>
      <c r="H35" s="282">
        <f t="shared" si="3"/>
        <v>-9.5094682370305602E-3</v>
      </c>
      <c r="I35" s="283"/>
      <c r="J35" s="328"/>
      <c r="K35" s="324"/>
      <c r="L35" s="324"/>
      <c r="M35" s="329"/>
      <c r="O35" s="325"/>
      <c r="P35" s="324"/>
      <c r="Q35" s="324" t="s">
        <v>152</v>
      </c>
      <c r="R35" s="280">
        <f t="shared" si="4"/>
        <v>-6.6268624707600697E-3</v>
      </c>
      <c r="S35" s="281">
        <f t="shared" si="4"/>
        <v>-6.0912696932914198E-3</v>
      </c>
      <c r="T35" s="281">
        <f t="shared" si="4"/>
        <v>-7.3277279219734299E-3</v>
      </c>
      <c r="U35" s="285">
        <f t="shared" si="4"/>
        <v>-9.5094682370305602E-3</v>
      </c>
    </row>
    <row r="36" spans="2:21" x14ac:dyDescent="0.2">
      <c r="B36" s="325"/>
      <c r="C36" s="324" t="s">
        <v>194</v>
      </c>
      <c r="D36" s="324"/>
      <c r="E36" s="280">
        <f t="shared" si="0"/>
        <v>-6.6268624707600697E-3</v>
      </c>
      <c r="F36" s="281">
        <f t="shared" si="1"/>
        <v>-6.0912696932914198E-3</v>
      </c>
      <c r="G36" s="281">
        <f t="shared" si="2"/>
        <v>-7.3277279219734299E-3</v>
      </c>
      <c r="H36" s="282">
        <f t="shared" si="3"/>
        <v>-9.5094682370305602E-3</v>
      </c>
      <c r="I36" s="283"/>
      <c r="J36" s="328"/>
      <c r="K36" s="324"/>
      <c r="L36" s="324"/>
      <c r="M36" s="329"/>
      <c r="O36" s="325"/>
      <c r="P36" s="324" t="s">
        <v>210</v>
      </c>
      <c r="Q36" s="324" t="s">
        <v>151</v>
      </c>
      <c r="R36" s="280">
        <f t="shared" si="4"/>
        <v>-6.6268624707600697E-3</v>
      </c>
      <c r="S36" s="281">
        <f t="shared" si="4"/>
        <v>-6.0912696932914198E-3</v>
      </c>
      <c r="T36" s="281">
        <f t="shared" si="4"/>
        <v>-7.3277279219734299E-3</v>
      </c>
      <c r="U36" s="285">
        <f t="shared" si="4"/>
        <v>-9.5094682370305602E-3</v>
      </c>
    </row>
    <row r="37" spans="2:21" x14ac:dyDescent="0.2">
      <c r="B37" s="325"/>
      <c r="C37" s="324"/>
      <c r="D37" s="324"/>
      <c r="E37" s="280" t="str">
        <f t="shared" si="0"/>
        <v/>
      </c>
      <c r="F37" s="281" t="str">
        <f t="shared" si="1"/>
        <v/>
      </c>
      <c r="G37" s="281" t="str">
        <f t="shared" si="2"/>
        <v/>
      </c>
      <c r="H37" s="282" t="str">
        <f t="shared" si="3"/>
        <v/>
      </c>
      <c r="I37" s="283"/>
      <c r="J37" s="328"/>
      <c r="K37" s="324"/>
      <c r="L37" s="324"/>
      <c r="M37" s="329"/>
      <c r="O37" s="325"/>
      <c r="P37" s="324"/>
      <c r="Q37" s="324" t="s">
        <v>152</v>
      </c>
      <c r="R37" s="280">
        <f t="shared" si="4"/>
        <v>-6.6268624707600697E-3</v>
      </c>
      <c r="S37" s="281">
        <f t="shared" si="4"/>
        <v>-6.0912696932914198E-3</v>
      </c>
      <c r="T37" s="281">
        <f t="shared" si="4"/>
        <v>-7.3277279219734299E-3</v>
      </c>
      <c r="U37" s="285">
        <f t="shared" si="4"/>
        <v>-9.5094682370305602E-3</v>
      </c>
    </row>
    <row r="38" spans="2:21" x14ac:dyDescent="0.2">
      <c r="B38" s="325" t="s">
        <v>212</v>
      </c>
      <c r="C38" s="324"/>
      <c r="D38" s="324"/>
      <c r="E38" s="280" t="str">
        <f t="shared" si="0"/>
        <v/>
      </c>
      <c r="F38" s="281" t="str">
        <f t="shared" si="1"/>
        <v/>
      </c>
      <c r="G38" s="281" t="str">
        <f t="shared" si="2"/>
        <v/>
      </c>
      <c r="H38" s="282" t="str">
        <f t="shared" si="3"/>
        <v/>
      </c>
      <c r="I38" s="283"/>
      <c r="J38" s="328"/>
      <c r="K38" s="324"/>
      <c r="L38" s="324"/>
      <c r="M38" s="329"/>
      <c r="O38" s="325"/>
      <c r="P38" s="324" t="s">
        <v>198</v>
      </c>
      <c r="Q38" s="324"/>
      <c r="R38" s="280">
        <f t="shared" si="4"/>
        <v>-6.6268624707600697E-3</v>
      </c>
      <c r="S38" s="281">
        <f t="shared" si="4"/>
        <v>-6.0912696932914198E-3</v>
      </c>
      <c r="T38" s="281">
        <f t="shared" si="4"/>
        <v>-7.3277279219734299E-3</v>
      </c>
      <c r="U38" s="285">
        <f t="shared" si="4"/>
        <v>-9.5094682370305602E-3</v>
      </c>
    </row>
    <row r="39" spans="2:21" x14ac:dyDescent="0.2">
      <c r="B39" s="325"/>
      <c r="C39" s="324" t="s">
        <v>213</v>
      </c>
      <c r="D39" s="324"/>
      <c r="E39" s="280">
        <f t="shared" si="0"/>
        <v>-6.6268624707600697E-3</v>
      </c>
      <c r="F39" s="281">
        <f t="shared" si="1"/>
        <v>-6.0912696932914198E-3</v>
      </c>
      <c r="G39" s="281">
        <f t="shared" si="2"/>
        <v>-7.3277279219734299E-3</v>
      </c>
      <c r="H39" s="282">
        <f t="shared" si="3"/>
        <v>-9.5094682370305602E-3</v>
      </c>
      <c r="I39" s="283"/>
      <c r="J39" s="328"/>
      <c r="K39" s="324"/>
      <c r="L39" s="324"/>
      <c r="M39" s="329"/>
      <c r="O39" s="325"/>
      <c r="P39" s="324" t="s">
        <v>199</v>
      </c>
      <c r="Q39" s="324"/>
      <c r="R39" s="280">
        <f t="shared" si="4"/>
        <v>-6.6268624707600697E-3</v>
      </c>
      <c r="S39" s="281">
        <f t="shared" si="4"/>
        <v>-6.0912696932914198E-3</v>
      </c>
      <c r="T39" s="281">
        <f t="shared" si="4"/>
        <v>-7.3277279219734299E-3</v>
      </c>
      <c r="U39" s="285">
        <f t="shared" si="4"/>
        <v>-9.5094682370305602E-3</v>
      </c>
    </row>
    <row r="40" spans="2:21" x14ac:dyDescent="0.2">
      <c r="B40" s="325"/>
      <c r="C40" s="324" t="s">
        <v>214</v>
      </c>
      <c r="D40" s="324"/>
      <c r="E40" s="280">
        <f t="shared" ref="E40:E71" si="5">IF($C40="",IF($D40="","",J$2),J$2)</f>
        <v>-6.6268624707600697E-3</v>
      </c>
      <c r="F40" s="281">
        <f t="shared" ref="F40:F71" si="6">IF($C40="",IF($D40="","",K$2),K$2)</f>
        <v>-6.0912696932914198E-3</v>
      </c>
      <c r="G40" s="281">
        <f t="shared" ref="G40:G71" si="7">IF($C40="",IF($D40="","",L$2),L$2)</f>
        <v>-7.3277279219734299E-3</v>
      </c>
      <c r="H40" s="282">
        <f t="shared" ref="H40:H71" si="8">IF($C40="",IF($D40="","",M$2),M$2)</f>
        <v>-9.5094682370305602E-3</v>
      </c>
      <c r="I40" s="283"/>
      <c r="J40" s="328"/>
      <c r="K40" s="324"/>
      <c r="L40" s="324"/>
      <c r="M40" s="329"/>
      <c r="O40" s="325"/>
      <c r="P40" s="324"/>
      <c r="Q40" s="324"/>
      <c r="R40" s="280" t="str">
        <f t="shared" si="4"/>
        <v/>
      </c>
      <c r="S40" s="281" t="str">
        <f t="shared" si="4"/>
        <v/>
      </c>
      <c r="T40" s="281" t="str">
        <f t="shared" si="4"/>
        <v/>
      </c>
      <c r="U40" s="285" t="str">
        <f t="shared" si="4"/>
        <v/>
      </c>
    </row>
    <row r="41" spans="2:21" x14ac:dyDescent="0.2">
      <c r="B41" s="325"/>
      <c r="C41" s="324" t="s">
        <v>215</v>
      </c>
      <c r="D41" s="324" t="s">
        <v>151</v>
      </c>
      <c r="E41" s="280">
        <f t="shared" si="5"/>
        <v>-6.6268624707600697E-3</v>
      </c>
      <c r="F41" s="281">
        <f t="shared" si="6"/>
        <v>-6.0912696932914198E-3</v>
      </c>
      <c r="G41" s="281">
        <f t="shared" si="7"/>
        <v>-7.3277279219734299E-3</v>
      </c>
      <c r="H41" s="282">
        <f t="shared" si="8"/>
        <v>-9.5094682370305602E-3</v>
      </c>
      <c r="I41" s="283"/>
      <c r="J41" s="328"/>
      <c r="K41" s="324"/>
      <c r="L41" s="324"/>
      <c r="M41" s="329"/>
      <c r="O41" s="325" t="s">
        <v>211</v>
      </c>
      <c r="P41" s="324"/>
      <c r="Q41" s="324"/>
      <c r="R41" s="280" t="str">
        <f t="shared" si="4"/>
        <v/>
      </c>
      <c r="S41" s="281" t="str">
        <f t="shared" si="4"/>
        <v/>
      </c>
      <c r="T41" s="281" t="str">
        <f t="shared" si="4"/>
        <v/>
      </c>
      <c r="U41" s="285" t="str">
        <f t="shared" si="4"/>
        <v/>
      </c>
    </row>
    <row r="42" spans="2:21" x14ac:dyDescent="0.2">
      <c r="B42" s="325"/>
      <c r="C42" s="324"/>
      <c r="D42" s="324" t="s">
        <v>152</v>
      </c>
      <c r="E42" s="280">
        <f t="shared" si="5"/>
        <v>-6.6268624707600697E-3</v>
      </c>
      <c r="F42" s="281">
        <f t="shared" si="6"/>
        <v>-6.0912696932914198E-3</v>
      </c>
      <c r="G42" s="281">
        <f t="shared" si="7"/>
        <v>-7.3277279219734299E-3</v>
      </c>
      <c r="H42" s="282">
        <f t="shared" si="8"/>
        <v>-9.5094682370305602E-3</v>
      </c>
      <c r="I42" s="283"/>
      <c r="J42" s="328"/>
      <c r="K42" s="324"/>
      <c r="L42" s="324"/>
      <c r="M42" s="329"/>
      <c r="O42" s="325"/>
      <c r="P42" s="324" t="s">
        <v>200</v>
      </c>
      <c r="Q42" s="324" t="s">
        <v>151</v>
      </c>
      <c r="R42" s="280">
        <f t="shared" si="4"/>
        <v>-6.6268624707600697E-3</v>
      </c>
      <c r="S42" s="281">
        <f t="shared" si="4"/>
        <v>-6.0912696932914198E-3</v>
      </c>
      <c r="T42" s="281">
        <f t="shared" si="4"/>
        <v>-7.3277279219734299E-3</v>
      </c>
      <c r="U42" s="285">
        <f t="shared" si="4"/>
        <v>-9.5094682370305602E-3</v>
      </c>
    </row>
    <row r="43" spans="2:21" x14ac:dyDescent="0.2">
      <c r="B43" s="325"/>
      <c r="C43" s="324" t="s">
        <v>216</v>
      </c>
      <c r="D43" s="324"/>
      <c r="E43" s="280">
        <f t="shared" si="5"/>
        <v>-6.6268624707600697E-3</v>
      </c>
      <c r="F43" s="281">
        <f t="shared" si="6"/>
        <v>-6.0912696932914198E-3</v>
      </c>
      <c r="G43" s="281">
        <f t="shared" si="7"/>
        <v>-7.3277279219734299E-3</v>
      </c>
      <c r="H43" s="282">
        <f t="shared" si="8"/>
        <v>-9.5094682370305602E-3</v>
      </c>
      <c r="I43" s="283"/>
      <c r="J43" s="328"/>
      <c r="K43" s="324"/>
      <c r="L43" s="324"/>
      <c r="M43" s="329"/>
      <c r="O43" s="325"/>
      <c r="P43" s="324"/>
      <c r="Q43" s="324" t="s">
        <v>152</v>
      </c>
      <c r="R43" s="280">
        <f t="shared" si="4"/>
        <v>-6.6268624707600697E-3</v>
      </c>
      <c r="S43" s="281">
        <f t="shared" si="4"/>
        <v>-6.0912696932914198E-3</v>
      </c>
      <c r="T43" s="281">
        <f t="shared" si="4"/>
        <v>-7.3277279219734299E-3</v>
      </c>
      <c r="U43" s="285">
        <f t="shared" si="4"/>
        <v>-9.5094682370305602E-3</v>
      </c>
    </row>
    <row r="44" spans="2:21" x14ac:dyDescent="0.2">
      <c r="B44" s="325"/>
      <c r="C44" s="324" t="s">
        <v>217</v>
      </c>
      <c r="D44" s="324"/>
      <c r="E44" s="280">
        <f t="shared" si="5"/>
        <v>-6.6268624707600697E-3</v>
      </c>
      <c r="F44" s="281">
        <f t="shared" si="6"/>
        <v>-6.0912696932914198E-3</v>
      </c>
      <c r="G44" s="281">
        <f t="shared" si="7"/>
        <v>-7.3277279219734299E-3</v>
      </c>
      <c r="H44" s="282">
        <f t="shared" si="8"/>
        <v>-9.5094682370305602E-3</v>
      </c>
      <c r="I44" s="283"/>
      <c r="J44" s="328"/>
      <c r="K44" s="324"/>
      <c r="L44" s="324"/>
      <c r="M44" s="329"/>
      <c r="O44" s="325"/>
      <c r="P44" s="324" t="s">
        <v>201</v>
      </c>
      <c r="Q44" s="324" t="s">
        <v>151</v>
      </c>
      <c r="R44" s="280">
        <f t="shared" si="4"/>
        <v>-6.6268624707600697E-3</v>
      </c>
      <c r="S44" s="281">
        <f t="shared" si="4"/>
        <v>-6.0912696932914198E-3</v>
      </c>
      <c r="T44" s="281">
        <f t="shared" si="4"/>
        <v>-7.3277279219734299E-3</v>
      </c>
      <c r="U44" s="285">
        <f t="shared" si="4"/>
        <v>-9.5094682370305602E-3</v>
      </c>
    </row>
    <row r="45" spans="2:21" x14ac:dyDescent="0.2">
      <c r="B45" s="325"/>
      <c r="C45" s="324" t="s">
        <v>218</v>
      </c>
      <c r="D45" s="324"/>
      <c r="E45" s="280">
        <f t="shared" si="5"/>
        <v>-6.6268624707600697E-3</v>
      </c>
      <c r="F45" s="281">
        <f t="shared" si="6"/>
        <v>-6.0912696932914198E-3</v>
      </c>
      <c r="G45" s="281">
        <f t="shared" si="7"/>
        <v>-7.3277279219734299E-3</v>
      </c>
      <c r="H45" s="282">
        <f t="shared" si="8"/>
        <v>-9.5094682370305602E-3</v>
      </c>
      <c r="I45" s="283"/>
      <c r="J45" s="328"/>
      <c r="K45" s="324"/>
      <c r="L45" s="324"/>
      <c r="M45" s="329"/>
      <c r="O45" s="325"/>
      <c r="P45" s="324"/>
      <c r="Q45" s="324" t="s">
        <v>152</v>
      </c>
      <c r="R45" s="280">
        <f t="shared" ref="R45:U61" si="9">IF($P45="",IF($Q45="","",J$2),J$2)</f>
        <v>-6.6268624707600697E-3</v>
      </c>
      <c r="S45" s="281">
        <f t="shared" si="9"/>
        <v>-6.0912696932914198E-3</v>
      </c>
      <c r="T45" s="281">
        <f t="shared" si="9"/>
        <v>-7.3277279219734299E-3</v>
      </c>
      <c r="U45" s="285">
        <f t="shared" si="9"/>
        <v>-9.5094682370305602E-3</v>
      </c>
    </row>
    <row r="46" spans="2:21" x14ac:dyDescent="0.2">
      <c r="B46" s="325"/>
      <c r="C46" s="324"/>
      <c r="D46" s="324"/>
      <c r="E46" s="280" t="str">
        <f t="shared" si="5"/>
        <v/>
      </c>
      <c r="F46" s="281" t="str">
        <f t="shared" si="6"/>
        <v/>
      </c>
      <c r="G46" s="281" t="str">
        <f t="shared" si="7"/>
        <v/>
      </c>
      <c r="H46" s="282" t="str">
        <f t="shared" si="8"/>
        <v/>
      </c>
      <c r="I46" s="283"/>
      <c r="J46" s="328"/>
      <c r="K46" s="324"/>
      <c r="L46" s="324"/>
      <c r="M46" s="329"/>
      <c r="O46" s="325"/>
      <c r="P46" s="324" t="s">
        <v>202</v>
      </c>
      <c r="Q46" s="324" t="s">
        <v>151</v>
      </c>
      <c r="R46" s="280">
        <f t="shared" si="9"/>
        <v>-6.6268624707600697E-3</v>
      </c>
      <c r="S46" s="281">
        <f t="shared" si="9"/>
        <v>-6.0912696932914198E-3</v>
      </c>
      <c r="T46" s="281">
        <f t="shared" si="9"/>
        <v>-7.3277279219734299E-3</v>
      </c>
      <c r="U46" s="285">
        <f t="shared" si="9"/>
        <v>-9.5094682370305602E-3</v>
      </c>
    </row>
    <row r="47" spans="2:21" x14ac:dyDescent="0.2">
      <c r="B47" s="325" t="s">
        <v>219</v>
      </c>
      <c r="C47" s="324"/>
      <c r="D47" s="324"/>
      <c r="E47" s="280" t="str">
        <f t="shared" si="5"/>
        <v/>
      </c>
      <c r="F47" s="281" t="str">
        <f t="shared" si="6"/>
        <v/>
      </c>
      <c r="G47" s="281" t="str">
        <f t="shared" si="7"/>
        <v/>
      </c>
      <c r="H47" s="282" t="str">
        <f t="shared" si="8"/>
        <v/>
      </c>
      <c r="I47" s="283"/>
      <c r="J47" s="328"/>
      <c r="K47" s="324"/>
      <c r="L47" s="324"/>
      <c r="M47" s="329"/>
      <c r="O47" s="325"/>
      <c r="P47" s="324"/>
      <c r="Q47" s="324" t="s">
        <v>152</v>
      </c>
      <c r="R47" s="280">
        <f t="shared" si="9"/>
        <v>-6.6268624707600697E-3</v>
      </c>
      <c r="S47" s="281">
        <f t="shared" si="9"/>
        <v>-6.0912696932914198E-3</v>
      </c>
      <c r="T47" s="281">
        <f t="shared" si="9"/>
        <v>-7.3277279219734299E-3</v>
      </c>
      <c r="U47" s="285">
        <f t="shared" si="9"/>
        <v>-9.5094682370305602E-3</v>
      </c>
    </row>
    <row r="48" spans="2:21" x14ac:dyDescent="0.2">
      <c r="B48" s="325"/>
      <c r="C48" s="324" t="s">
        <v>220</v>
      </c>
      <c r="D48" s="324"/>
      <c r="E48" s="280">
        <f t="shared" si="5"/>
        <v>-6.6268624707600697E-3</v>
      </c>
      <c r="F48" s="281">
        <f t="shared" si="6"/>
        <v>-6.0912696932914198E-3</v>
      </c>
      <c r="G48" s="281">
        <f t="shared" si="7"/>
        <v>-7.3277279219734299E-3</v>
      </c>
      <c r="H48" s="282">
        <f t="shared" si="8"/>
        <v>-9.5094682370305602E-3</v>
      </c>
      <c r="I48" s="283"/>
      <c r="J48" s="328"/>
      <c r="K48" s="324"/>
      <c r="L48" s="324"/>
      <c r="M48" s="329"/>
      <c r="O48" s="325"/>
      <c r="P48" s="324" t="s">
        <v>203</v>
      </c>
      <c r="Q48" s="324" t="s">
        <v>151</v>
      </c>
      <c r="R48" s="280">
        <f t="shared" si="9"/>
        <v>-6.6268624707600697E-3</v>
      </c>
      <c r="S48" s="281">
        <f t="shared" si="9"/>
        <v>-6.0912696932914198E-3</v>
      </c>
      <c r="T48" s="281">
        <f t="shared" si="9"/>
        <v>-7.3277279219734299E-3</v>
      </c>
      <c r="U48" s="285">
        <f t="shared" si="9"/>
        <v>-9.5094682370305602E-3</v>
      </c>
    </row>
    <row r="49" spans="2:21" x14ac:dyDescent="0.2">
      <c r="B49" s="325"/>
      <c r="C49" s="324" t="s">
        <v>221</v>
      </c>
      <c r="D49" s="324"/>
      <c r="E49" s="280">
        <f t="shared" si="5"/>
        <v>-6.6268624707600697E-3</v>
      </c>
      <c r="F49" s="281">
        <f t="shared" si="6"/>
        <v>-6.0912696932914198E-3</v>
      </c>
      <c r="G49" s="281">
        <f t="shared" si="7"/>
        <v>-7.3277279219734299E-3</v>
      </c>
      <c r="H49" s="282">
        <f t="shared" si="8"/>
        <v>-9.5094682370305602E-3</v>
      </c>
      <c r="I49" s="283"/>
      <c r="J49" s="328"/>
      <c r="K49" s="324"/>
      <c r="L49" s="324"/>
      <c r="M49" s="329"/>
      <c r="O49" s="325"/>
      <c r="P49" s="324"/>
      <c r="Q49" s="324" t="s">
        <v>152</v>
      </c>
      <c r="R49" s="280">
        <f t="shared" si="9"/>
        <v>-6.6268624707600697E-3</v>
      </c>
      <c r="S49" s="281">
        <f t="shared" si="9"/>
        <v>-6.0912696932914198E-3</v>
      </c>
      <c r="T49" s="281">
        <f t="shared" si="9"/>
        <v>-7.3277279219734299E-3</v>
      </c>
      <c r="U49" s="285">
        <f t="shared" si="9"/>
        <v>-9.5094682370305602E-3</v>
      </c>
    </row>
    <row r="50" spans="2:21" x14ac:dyDescent="0.2">
      <c r="B50" s="325"/>
      <c r="C50" s="324"/>
      <c r="D50" s="324"/>
      <c r="E50" s="280" t="str">
        <f t="shared" si="5"/>
        <v/>
      </c>
      <c r="F50" s="281" t="str">
        <f t="shared" si="6"/>
        <v/>
      </c>
      <c r="G50" s="281" t="str">
        <f t="shared" si="7"/>
        <v/>
      </c>
      <c r="H50" s="282" t="str">
        <f t="shared" si="8"/>
        <v/>
      </c>
      <c r="I50" s="283"/>
      <c r="J50" s="328"/>
      <c r="K50" s="324"/>
      <c r="L50" s="324"/>
      <c r="M50" s="329"/>
      <c r="O50" s="325"/>
      <c r="P50" s="324" t="s">
        <v>204</v>
      </c>
      <c r="Q50" s="324" t="s">
        <v>151</v>
      </c>
      <c r="R50" s="280">
        <f t="shared" si="9"/>
        <v>-6.6268624707600697E-3</v>
      </c>
      <c r="S50" s="281">
        <f t="shared" si="9"/>
        <v>-6.0912696932914198E-3</v>
      </c>
      <c r="T50" s="281">
        <f t="shared" si="9"/>
        <v>-7.3277279219734299E-3</v>
      </c>
      <c r="U50" s="285">
        <f t="shared" si="9"/>
        <v>-9.5094682370305602E-3</v>
      </c>
    </row>
    <row r="51" spans="2:21" x14ac:dyDescent="0.2">
      <c r="B51" s="325"/>
      <c r="C51" s="324"/>
      <c r="D51" s="324"/>
      <c r="E51" s="280" t="str">
        <f t="shared" si="5"/>
        <v/>
      </c>
      <c r="F51" s="281" t="str">
        <f t="shared" si="6"/>
        <v/>
      </c>
      <c r="G51" s="281" t="str">
        <f t="shared" si="7"/>
        <v/>
      </c>
      <c r="H51" s="282" t="str">
        <f t="shared" si="8"/>
        <v/>
      </c>
      <c r="I51" s="283"/>
      <c r="J51" s="328"/>
      <c r="K51" s="324"/>
      <c r="L51" s="324"/>
      <c r="M51" s="329"/>
      <c r="O51" s="325"/>
      <c r="P51" s="324"/>
      <c r="Q51" s="324" t="s">
        <v>152</v>
      </c>
      <c r="R51" s="280">
        <f t="shared" si="9"/>
        <v>-6.6268624707600697E-3</v>
      </c>
      <c r="S51" s="281">
        <f t="shared" si="9"/>
        <v>-6.0912696932914198E-3</v>
      </c>
      <c r="T51" s="281">
        <f t="shared" si="9"/>
        <v>-7.3277279219734299E-3</v>
      </c>
      <c r="U51" s="285">
        <f t="shared" si="9"/>
        <v>-9.5094682370305602E-3</v>
      </c>
    </row>
    <row r="52" spans="2:21" x14ac:dyDescent="0.2">
      <c r="B52" s="325"/>
      <c r="C52" s="324"/>
      <c r="D52" s="324"/>
      <c r="E52" s="280" t="str">
        <f t="shared" si="5"/>
        <v/>
      </c>
      <c r="F52" s="281" t="str">
        <f t="shared" si="6"/>
        <v/>
      </c>
      <c r="G52" s="281" t="str">
        <f t="shared" si="7"/>
        <v/>
      </c>
      <c r="H52" s="282" t="str">
        <f t="shared" si="8"/>
        <v/>
      </c>
      <c r="I52" s="283"/>
      <c r="J52" s="328"/>
      <c r="K52" s="324"/>
      <c r="L52" s="324"/>
      <c r="M52" s="329"/>
      <c r="O52" s="325"/>
      <c r="P52" s="324" t="s">
        <v>205</v>
      </c>
      <c r="Q52" s="324" t="s">
        <v>151</v>
      </c>
      <c r="R52" s="280">
        <f t="shared" si="9"/>
        <v>-6.6268624707600697E-3</v>
      </c>
      <c r="S52" s="281">
        <f t="shared" si="9"/>
        <v>-6.0912696932914198E-3</v>
      </c>
      <c r="T52" s="281">
        <f t="shared" si="9"/>
        <v>-7.3277279219734299E-3</v>
      </c>
      <c r="U52" s="285">
        <f t="shared" si="9"/>
        <v>-9.5094682370305602E-3</v>
      </c>
    </row>
    <row r="53" spans="2:21" x14ac:dyDescent="0.2">
      <c r="B53" s="325"/>
      <c r="C53" s="324"/>
      <c r="D53" s="324"/>
      <c r="E53" s="280" t="str">
        <f t="shared" si="5"/>
        <v/>
      </c>
      <c r="F53" s="281" t="str">
        <f t="shared" si="6"/>
        <v/>
      </c>
      <c r="G53" s="281" t="str">
        <f t="shared" si="7"/>
        <v/>
      </c>
      <c r="H53" s="282" t="str">
        <f t="shared" si="8"/>
        <v/>
      </c>
      <c r="I53" s="283"/>
      <c r="J53" s="328"/>
      <c r="K53" s="324"/>
      <c r="L53" s="324"/>
      <c r="M53" s="329"/>
      <c r="O53" s="325"/>
      <c r="P53" s="324"/>
      <c r="Q53" s="324" t="s">
        <v>152</v>
      </c>
      <c r="R53" s="280">
        <f t="shared" si="9"/>
        <v>-6.6268624707600697E-3</v>
      </c>
      <c r="S53" s="281">
        <f t="shared" si="9"/>
        <v>-6.0912696932914198E-3</v>
      </c>
      <c r="T53" s="281">
        <f t="shared" si="9"/>
        <v>-7.3277279219734299E-3</v>
      </c>
      <c r="U53" s="285">
        <f t="shared" si="9"/>
        <v>-9.5094682370305602E-3</v>
      </c>
    </row>
    <row r="54" spans="2:21" x14ac:dyDescent="0.2">
      <c r="B54" s="325"/>
      <c r="C54" s="324"/>
      <c r="D54" s="324"/>
      <c r="E54" s="280" t="str">
        <f t="shared" si="5"/>
        <v/>
      </c>
      <c r="F54" s="281" t="str">
        <f t="shared" si="6"/>
        <v/>
      </c>
      <c r="G54" s="281" t="str">
        <f t="shared" si="7"/>
        <v/>
      </c>
      <c r="H54" s="282" t="str">
        <f t="shared" si="8"/>
        <v/>
      </c>
      <c r="I54" s="283"/>
      <c r="J54" s="328"/>
      <c r="K54" s="324"/>
      <c r="L54" s="324"/>
      <c r="M54" s="329"/>
      <c r="O54" s="325"/>
      <c r="P54" s="324" t="s">
        <v>206</v>
      </c>
      <c r="Q54" s="324" t="s">
        <v>151</v>
      </c>
      <c r="R54" s="280">
        <f t="shared" si="9"/>
        <v>-6.6268624707600697E-3</v>
      </c>
      <c r="S54" s="281">
        <f t="shared" si="9"/>
        <v>-6.0912696932914198E-3</v>
      </c>
      <c r="T54" s="281">
        <f t="shared" si="9"/>
        <v>-7.3277279219734299E-3</v>
      </c>
      <c r="U54" s="285">
        <f t="shared" si="9"/>
        <v>-9.5094682370305602E-3</v>
      </c>
    </row>
    <row r="55" spans="2:21" x14ac:dyDescent="0.2">
      <c r="B55" s="325"/>
      <c r="C55" s="324"/>
      <c r="D55" s="324"/>
      <c r="E55" s="280" t="str">
        <f t="shared" si="5"/>
        <v/>
      </c>
      <c r="F55" s="281" t="str">
        <f t="shared" si="6"/>
        <v/>
      </c>
      <c r="G55" s="281" t="str">
        <f t="shared" si="7"/>
        <v/>
      </c>
      <c r="H55" s="282" t="str">
        <f t="shared" si="8"/>
        <v/>
      </c>
      <c r="I55" s="283"/>
      <c r="J55" s="328"/>
      <c r="K55" s="324"/>
      <c r="L55" s="324"/>
      <c r="M55" s="329"/>
      <c r="O55" s="325"/>
      <c r="P55" s="324"/>
      <c r="Q55" s="324" t="s">
        <v>152</v>
      </c>
      <c r="R55" s="280">
        <f t="shared" si="9"/>
        <v>-6.6268624707600697E-3</v>
      </c>
      <c r="S55" s="281">
        <f t="shared" si="9"/>
        <v>-6.0912696932914198E-3</v>
      </c>
      <c r="T55" s="281">
        <f t="shared" si="9"/>
        <v>-7.3277279219734299E-3</v>
      </c>
      <c r="U55" s="285">
        <f t="shared" si="9"/>
        <v>-9.5094682370305602E-3</v>
      </c>
    </row>
    <row r="56" spans="2:21" x14ac:dyDescent="0.2">
      <c r="B56" s="325"/>
      <c r="C56" s="324"/>
      <c r="D56" s="324"/>
      <c r="E56" s="280" t="str">
        <f t="shared" si="5"/>
        <v/>
      </c>
      <c r="F56" s="281" t="str">
        <f t="shared" si="6"/>
        <v/>
      </c>
      <c r="G56" s="281" t="str">
        <f t="shared" si="7"/>
        <v/>
      </c>
      <c r="H56" s="282" t="str">
        <f t="shared" si="8"/>
        <v/>
      </c>
      <c r="I56" s="283"/>
      <c r="J56" s="328"/>
      <c r="K56" s="324"/>
      <c r="L56" s="324"/>
      <c r="M56" s="329"/>
      <c r="O56" s="325"/>
      <c r="P56" s="324" t="s">
        <v>207</v>
      </c>
      <c r="Q56" s="324" t="s">
        <v>151</v>
      </c>
      <c r="R56" s="280">
        <f t="shared" si="9"/>
        <v>-6.6268624707600697E-3</v>
      </c>
      <c r="S56" s="281">
        <f t="shared" si="9"/>
        <v>-6.0912696932914198E-3</v>
      </c>
      <c r="T56" s="281">
        <f t="shared" si="9"/>
        <v>-7.3277279219734299E-3</v>
      </c>
      <c r="U56" s="285">
        <f t="shared" si="9"/>
        <v>-9.5094682370305602E-3</v>
      </c>
    </row>
    <row r="57" spans="2:21" x14ac:dyDescent="0.2">
      <c r="B57" s="325"/>
      <c r="C57" s="324"/>
      <c r="D57" s="324"/>
      <c r="E57" s="280" t="str">
        <f t="shared" si="5"/>
        <v/>
      </c>
      <c r="F57" s="281" t="str">
        <f t="shared" si="6"/>
        <v/>
      </c>
      <c r="G57" s="281" t="str">
        <f t="shared" si="7"/>
        <v/>
      </c>
      <c r="H57" s="282" t="str">
        <f t="shared" si="8"/>
        <v/>
      </c>
      <c r="I57" s="283"/>
      <c r="J57" s="328"/>
      <c r="K57" s="324"/>
      <c r="L57" s="324"/>
      <c r="M57" s="329"/>
      <c r="O57" s="325"/>
      <c r="P57" s="324"/>
      <c r="Q57" s="324" t="s">
        <v>152</v>
      </c>
      <c r="R57" s="280">
        <f t="shared" si="9"/>
        <v>-6.6268624707600697E-3</v>
      </c>
      <c r="S57" s="281">
        <f t="shared" si="9"/>
        <v>-6.0912696932914198E-3</v>
      </c>
      <c r="T57" s="281">
        <f t="shared" si="9"/>
        <v>-7.3277279219734299E-3</v>
      </c>
      <c r="U57" s="285">
        <f t="shared" si="9"/>
        <v>-9.5094682370305602E-3</v>
      </c>
    </row>
    <row r="58" spans="2:21" x14ac:dyDescent="0.2">
      <c r="B58" s="325"/>
      <c r="C58" s="324"/>
      <c r="D58" s="324"/>
      <c r="E58" s="280" t="str">
        <f t="shared" si="5"/>
        <v/>
      </c>
      <c r="F58" s="281" t="str">
        <f t="shared" si="6"/>
        <v/>
      </c>
      <c r="G58" s="281" t="str">
        <f t="shared" si="7"/>
        <v/>
      </c>
      <c r="H58" s="282" t="str">
        <f t="shared" si="8"/>
        <v/>
      </c>
      <c r="I58" s="283"/>
      <c r="J58" s="328"/>
      <c r="K58" s="324"/>
      <c r="L58" s="324"/>
      <c r="M58" s="329"/>
      <c r="O58" s="325"/>
      <c r="P58" s="324" t="s">
        <v>208</v>
      </c>
      <c r="Q58" s="324" t="s">
        <v>151</v>
      </c>
      <c r="R58" s="280">
        <f t="shared" si="9"/>
        <v>-6.6268624707600697E-3</v>
      </c>
      <c r="S58" s="281">
        <f t="shared" si="9"/>
        <v>-6.0912696932914198E-3</v>
      </c>
      <c r="T58" s="281">
        <f t="shared" si="9"/>
        <v>-7.3277279219734299E-3</v>
      </c>
      <c r="U58" s="285">
        <f t="shared" si="9"/>
        <v>-9.5094682370305602E-3</v>
      </c>
    </row>
    <row r="59" spans="2:21" x14ac:dyDescent="0.2">
      <c r="B59" s="325"/>
      <c r="C59" s="324"/>
      <c r="D59" s="324"/>
      <c r="E59" s="280" t="str">
        <f t="shared" si="5"/>
        <v/>
      </c>
      <c r="F59" s="281" t="str">
        <f t="shared" si="6"/>
        <v/>
      </c>
      <c r="G59" s="281" t="str">
        <f t="shared" si="7"/>
        <v/>
      </c>
      <c r="H59" s="282" t="str">
        <f t="shared" si="8"/>
        <v/>
      </c>
      <c r="I59" s="283"/>
      <c r="J59" s="328"/>
      <c r="K59" s="324"/>
      <c r="L59" s="324"/>
      <c r="M59" s="329"/>
      <c r="O59" s="325"/>
      <c r="P59" s="324"/>
      <c r="Q59" s="324" t="s">
        <v>152</v>
      </c>
      <c r="R59" s="280">
        <f t="shared" si="9"/>
        <v>-6.6268624707600697E-3</v>
      </c>
      <c r="S59" s="281">
        <f t="shared" si="9"/>
        <v>-6.0912696932914198E-3</v>
      </c>
      <c r="T59" s="281">
        <f t="shared" si="9"/>
        <v>-7.3277279219734299E-3</v>
      </c>
      <c r="U59" s="285">
        <f t="shared" si="9"/>
        <v>-9.5094682370305602E-3</v>
      </c>
    </row>
    <row r="60" spans="2:21" x14ac:dyDescent="0.2">
      <c r="B60" s="325"/>
      <c r="C60" s="324"/>
      <c r="D60" s="324"/>
      <c r="E60" s="280" t="str">
        <f t="shared" si="5"/>
        <v/>
      </c>
      <c r="F60" s="281" t="str">
        <f t="shared" si="6"/>
        <v/>
      </c>
      <c r="G60" s="281" t="str">
        <f t="shared" si="7"/>
        <v/>
      </c>
      <c r="H60" s="282" t="str">
        <f t="shared" si="8"/>
        <v/>
      </c>
      <c r="I60" s="283"/>
      <c r="J60" s="328"/>
      <c r="K60" s="324"/>
      <c r="L60" s="324"/>
      <c r="M60" s="329"/>
      <c r="O60" s="325"/>
      <c r="P60" s="324"/>
      <c r="Q60" s="324"/>
      <c r="R60" s="280" t="str">
        <f t="shared" si="9"/>
        <v/>
      </c>
      <c r="S60" s="281" t="str">
        <f t="shared" si="9"/>
        <v/>
      </c>
      <c r="T60" s="281" t="str">
        <f t="shared" si="9"/>
        <v/>
      </c>
      <c r="U60" s="285" t="str">
        <f t="shared" si="9"/>
        <v/>
      </c>
    </row>
    <row r="61" spans="2:21" x14ac:dyDescent="0.2">
      <c r="B61" s="325"/>
      <c r="C61" s="324"/>
      <c r="D61" s="324"/>
      <c r="E61" s="280" t="str">
        <f t="shared" si="5"/>
        <v/>
      </c>
      <c r="F61" s="281" t="str">
        <f t="shared" si="6"/>
        <v/>
      </c>
      <c r="G61" s="281" t="str">
        <f t="shared" si="7"/>
        <v/>
      </c>
      <c r="H61" s="282" t="str">
        <f t="shared" si="8"/>
        <v/>
      </c>
      <c r="I61" s="283"/>
      <c r="J61" s="328"/>
      <c r="K61" s="324"/>
      <c r="L61" s="324"/>
      <c r="M61" s="329"/>
      <c r="O61" s="325"/>
      <c r="P61" s="324"/>
      <c r="Q61" s="324"/>
      <c r="R61" s="280" t="str">
        <f t="shared" si="9"/>
        <v/>
      </c>
      <c r="S61" s="281" t="str">
        <f t="shared" si="9"/>
        <v/>
      </c>
      <c r="T61" s="281" t="str">
        <f t="shared" si="9"/>
        <v/>
      </c>
      <c r="U61" s="285" t="str">
        <f t="shared" si="9"/>
        <v/>
      </c>
    </row>
    <row r="62" spans="2:21" ht="13.5" thickBot="1" x14ac:dyDescent="0.25">
      <c r="B62" s="325"/>
      <c r="C62" s="324"/>
      <c r="D62" s="324"/>
      <c r="E62" s="280" t="str">
        <f t="shared" si="5"/>
        <v/>
      </c>
      <c r="F62" s="281" t="str">
        <f t="shared" si="6"/>
        <v/>
      </c>
      <c r="G62" s="281" t="str">
        <f t="shared" si="7"/>
        <v/>
      </c>
      <c r="H62" s="282" t="str">
        <f t="shared" si="8"/>
        <v/>
      </c>
      <c r="I62" s="283"/>
      <c r="J62" s="328"/>
      <c r="K62" s="324"/>
      <c r="L62" s="324"/>
      <c r="M62" s="329"/>
      <c r="O62" s="326"/>
      <c r="P62" s="327"/>
      <c r="Q62" s="327"/>
      <c r="R62" s="286" t="str">
        <f t="shared" ref="R62" si="10">IF($P62="",IF($Q62="","",J$2),J$2)</f>
        <v/>
      </c>
      <c r="S62" s="287" t="str">
        <f t="shared" ref="S62" si="11">IF($P62="",IF($Q62="","",K$2),K$2)</f>
        <v/>
      </c>
      <c r="T62" s="287" t="str">
        <f t="shared" ref="T62" si="12">IF($P62="",IF($Q62="","",L$2),L$2)</f>
        <v/>
      </c>
      <c r="U62" s="288" t="str">
        <f t="shared" ref="U62" si="13">IF($P62="",IF($Q62="","",M$2),M$2)</f>
        <v/>
      </c>
    </row>
    <row r="63" spans="2:21" x14ac:dyDescent="0.2">
      <c r="B63" s="325"/>
      <c r="C63" s="324"/>
      <c r="D63" s="324"/>
      <c r="E63" s="280" t="str">
        <f t="shared" si="5"/>
        <v/>
      </c>
      <c r="F63" s="281" t="str">
        <f t="shared" si="6"/>
        <v/>
      </c>
      <c r="G63" s="281" t="str">
        <f t="shared" si="7"/>
        <v/>
      </c>
      <c r="H63" s="282" t="str">
        <f t="shared" si="8"/>
        <v/>
      </c>
      <c r="I63" s="283"/>
      <c r="J63" s="328"/>
      <c r="K63" s="324"/>
      <c r="L63" s="324"/>
      <c r="M63" s="329"/>
    </row>
    <row r="64" spans="2:21" x14ac:dyDescent="0.2">
      <c r="B64" s="325"/>
      <c r="C64" s="324"/>
      <c r="D64" s="324"/>
      <c r="E64" s="280" t="str">
        <f t="shared" si="5"/>
        <v/>
      </c>
      <c r="F64" s="281" t="str">
        <f t="shared" si="6"/>
        <v/>
      </c>
      <c r="G64" s="281" t="str">
        <f t="shared" si="7"/>
        <v/>
      </c>
      <c r="H64" s="282" t="str">
        <f t="shared" si="8"/>
        <v/>
      </c>
      <c r="I64" s="283"/>
      <c r="J64" s="328"/>
      <c r="K64" s="324"/>
      <c r="L64" s="324"/>
      <c r="M64" s="329"/>
    </row>
    <row r="65" spans="2:13" x14ac:dyDescent="0.2">
      <c r="B65" s="325"/>
      <c r="C65" s="324"/>
      <c r="D65" s="324"/>
      <c r="E65" s="280" t="str">
        <f t="shared" si="5"/>
        <v/>
      </c>
      <c r="F65" s="281" t="str">
        <f t="shared" si="6"/>
        <v/>
      </c>
      <c r="G65" s="281" t="str">
        <f t="shared" si="7"/>
        <v/>
      </c>
      <c r="H65" s="282" t="str">
        <f t="shared" si="8"/>
        <v/>
      </c>
      <c r="I65" s="283"/>
      <c r="J65" s="328"/>
      <c r="K65" s="324"/>
      <c r="L65" s="324"/>
      <c r="M65" s="329"/>
    </row>
    <row r="66" spans="2:13" x14ac:dyDescent="0.2">
      <c r="B66" s="325"/>
      <c r="C66" s="324"/>
      <c r="D66" s="324"/>
      <c r="E66" s="280" t="str">
        <f t="shared" si="5"/>
        <v/>
      </c>
      <c r="F66" s="281" t="str">
        <f t="shared" si="6"/>
        <v/>
      </c>
      <c r="G66" s="281" t="str">
        <f t="shared" si="7"/>
        <v/>
      </c>
      <c r="H66" s="282" t="str">
        <f t="shared" si="8"/>
        <v/>
      </c>
      <c r="I66" s="283"/>
      <c r="J66" s="328"/>
      <c r="K66" s="324"/>
      <c r="L66" s="324"/>
      <c r="M66" s="329"/>
    </row>
    <row r="67" spans="2:13" x14ac:dyDescent="0.2">
      <c r="B67" s="325"/>
      <c r="C67" s="324"/>
      <c r="D67" s="324"/>
      <c r="E67" s="280" t="str">
        <f t="shared" si="5"/>
        <v/>
      </c>
      <c r="F67" s="281" t="str">
        <f t="shared" si="6"/>
        <v/>
      </c>
      <c r="G67" s="281" t="str">
        <f t="shared" si="7"/>
        <v/>
      </c>
      <c r="H67" s="282" t="str">
        <f t="shared" si="8"/>
        <v/>
      </c>
      <c r="I67" s="283"/>
      <c r="J67" s="328"/>
      <c r="K67" s="324"/>
      <c r="L67" s="324"/>
      <c r="M67" s="329"/>
    </row>
    <row r="68" spans="2:13" x14ac:dyDescent="0.2">
      <c r="B68" s="325"/>
      <c r="C68" s="324"/>
      <c r="D68" s="324"/>
      <c r="E68" s="280" t="str">
        <f t="shared" si="5"/>
        <v/>
      </c>
      <c r="F68" s="281" t="str">
        <f t="shared" si="6"/>
        <v/>
      </c>
      <c r="G68" s="281" t="str">
        <f t="shared" si="7"/>
        <v/>
      </c>
      <c r="H68" s="282" t="str">
        <f t="shared" si="8"/>
        <v/>
      </c>
      <c r="I68" s="283"/>
      <c r="J68" s="328"/>
      <c r="K68" s="324"/>
      <c r="L68" s="324"/>
      <c r="M68" s="329"/>
    </row>
    <row r="69" spans="2:13" x14ac:dyDescent="0.2">
      <c r="B69" s="325"/>
      <c r="C69" s="324"/>
      <c r="D69" s="324"/>
      <c r="E69" s="280" t="str">
        <f t="shared" si="5"/>
        <v/>
      </c>
      <c r="F69" s="281" t="str">
        <f t="shared" si="6"/>
        <v/>
      </c>
      <c r="G69" s="281" t="str">
        <f t="shared" si="7"/>
        <v/>
      </c>
      <c r="H69" s="282" t="str">
        <f t="shared" si="8"/>
        <v/>
      </c>
      <c r="I69" s="283"/>
      <c r="J69" s="328"/>
      <c r="K69" s="324"/>
      <c r="L69" s="324"/>
      <c r="M69" s="329"/>
    </row>
    <row r="70" spans="2:13" x14ac:dyDescent="0.2">
      <c r="B70" s="325"/>
      <c r="C70" s="324"/>
      <c r="D70" s="324"/>
      <c r="E70" s="280" t="str">
        <f t="shared" si="5"/>
        <v/>
      </c>
      <c r="F70" s="281" t="str">
        <f t="shared" si="6"/>
        <v/>
      </c>
      <c r="G70" s="281" t="str">
        <f t="shared" si="7"/>
        <v/>
      </c>
      <c r="H70" s="282" t="str">
        <f t="shared" si="8"/>
        <v/>
      </c>
      <c r="I70" s="283"/>
      <c r="J70" s="328"/>
      <c r="K70" s="324"/>
      <c r="L70" s="324"/>
      <c r="M70" s="329"/>
    </row>
    <row r="71" spans="2:13" x14ac:dyDescent="0.2">
      <c r="B71" s="325"/>
      <c r="C71" s="324"/>
      <c r="D71" s="324"/>
      <c r="E71" s="280" t="str">
        <f t="shared" si="5"/>
        <v/>
      </c>
      <c r="F71" s="281" t="str">
        <f t="shared" si="6"/>
        <v/>
      </c>
      <c r="G71" s="281" t="str">
        <f t="shared" si="7"/>
        <v/>
      </c>
      <c r="H71" s="282" t="str">
        <f t="shared" si="8"/>
        <v/>
      </c>
      <c r="I71" s="283"/>
      <c r="J71" s="328"/>
      <c r="K71" s="324"/>
      <c r="L71" s="324"/>
      <c r="M71" s="329"/>
    </row>
    <row r="72" spans="2:13" x14ac:dyDescent="0.2">
      <c r="B72" s="325"/>
      <c r="C72" s="324"/>
      <c r="D72" s="324"/>
      <c r="E72" s="280" t="str">
        <f t="shared" ref="E72:E102" si="14">IF($C72="",IF($D72="","",J$2),J$2)</f>
        <v/>
      </c>
      <c r="F72" s="281" t="str">
        <f t="shared" ref="F72:F102" si="15">IF($C72="",IF($D72="","",K$2),K$2)</f>
        <v/>
      </c>
      <c r="G72" s="281" t="str">
        <f t="shared" ref="G72:G102" si="16">IF($C72="",IF($D72="","",L$2),L$2)</f>
        <v/>
      </c>
      <c r="H72" s="282" t="str">
        <f t="shared" ref="H72:H102" si="17">IF($C72="",IF($D72="","",M$2),M$2)</f>
        <v/>
      </c>
      <c r="I72" s="283"/>
      <c r="J72" s="328"/>
      <c r="K72" s="324"/>
      <c r="L72" s="324"/>
      <c r="M72" s="329"/>
    </row>
    <row r="73" spans="2:13" x14ac:dyDescent="0.2">
      <c r="B73" s="325"/>
      <c r="C73" s="324"/>
      <c r="D73" s="324"/>
      <c r="E73" s="280" t="str">
        <f t="shared" si="14"/>
        <v/>
      </c>
      <c r="F73" s="281" t="str">
        <f t="shared" si="15"/>
        <v/>
      </c>
      <c r="G73" s="281" t="str">
        <f t="shared" si="16"/>
        <v/>
      </c>
      <c r="H73" s="282" t="str">
        <f t="shared" si="17"/>
        <v/>
      </c>
      <c r="I73" s="283"/>
      <c r="J73" s="328"/>
      <c r="K73" s="324"/>
      <c r="L73" s="324"/>
      <c r="M73" s="329"/>
    </row>
    <row r="74" spans="2:13" x14ac:dyDescent="0.2">
      <c r="B74" s="325"/>
      <c r="C74" s="324"/>
      <c r="D74" s="324"/>
      <c r="E74" s="280" t="str">
        <f t="shared" si="14"/>
        <v/>
      </c>
      <c r="F74" s="281" t="str">
        <f t="shared" si="15"/>
        <v/>
      </c>
      <c r="G74" s="281" t="str">
        <f t="shared" si="16"/>
        <v/>
      </c>
      <c r="H74" s="282" t="str">
        <f t="shared" si="17"/>
        <v/>
      </c>
      <c r="I74" s="283"/>
      <c r="J74" s="328"/>
      <c r="K74" s="324"/>
      <c r="L74" s="324"/>
      <c r="M74" s="329"/>
    </row>
    <row r="75" spans="2:13" x14ac:dyDescent="0.2">
      <c r="B75" s="325"/>
      <c r="C75" s="324"/>
      <c r="D75" s="324"/>
      <c r="E75" s="280" t="str">
        <f t="shared" si="14"/>
        <v/>
      </c>
      <c r="F75" s="281" t="str">
        <f t="shared" si="15"/>
        <v/>
      </c>
      <c r="G75" s="281" t="str">
        <f t="shared" si="16"/>
        <v/>
      </c>
      <c r="H75" s="282" t="str">
        <f t="shared" si="17"/>
        <v/>
      </c>
      <c r="I75" s="283"/>
      <c r="J75" s="328"/>
      <c r="K75" s="324"/>
      <c r="L75" s="324"/>
      <c r="M75" s="329"/>
    </row>
    <row r="76" spans="2:13" x14ac:dyDescent="0.2">
      <c r="B76" s="325"/>
      <c r="C76" s="324"/>
      <c r="D76" s="324"/>
      <c r="E76" s="280" t="str">
        <f t="shared" si="14"/>
        <v/>
      </c>
      <c r="F76" s="281" t="str">
        <f t="shared" si="15"/>
        <v/>
      </c>
      <c r="G76" s="281" t="str">
        <f t="shared" si="16"/>
        <v/>
      </c>
      <c r="H76" s="282" t="str">
        <f t="shared" si="17"/>
        <v/>
      </c>
      <c r="I76" s="283"/>
      <c r="J76" s="328"/>
      <c r="K76" s="324"/>
      <c r="L76" s="324"/>
      <c r="M76" s="329"/>
    </row>
    <row r="77" spans="2:13" x14ac:dyDescent="0.2">
      <c r="B77" s="325"/>
      <c r="C77" s="324"/>
      <c r="D77" s="324"/>
      <c r="E77" s="280" t="str">
        <f t="shared" si="14"/>
        <v/>
      </c>
      <c r="F77" s="281" t="str">
        <f t="shared" si="15"/>
        <v/>
      </c>
      <c r="G77" s="281" t="str">
        <f t="shared" si="16"/>
        <v/>
      </c>
      <c r="H77" s="282" t="str">
        <f t="shared" si="17"/>
        <v/>
      </c>
      <c r="I77" s="283"/>
      <c r="J77" s="328"/>
      <c r="K77" s="324"/>
      <c r="L77" s="324"/>
      <c r="M77" s="329"/>
    </row>
    <row r="78" spans="2:13" x14ac:dyDescent="0.2">
      <c r="B78" s="325"/>
      <c r="C78" s="324"/>
      <c r="D78" s="324"/>
      <c r="E78" s="280" t="str">
        <f t="shared" si="14"/>
        <v/>
      </c>
      <c r="F78" s="281" t="str">
        <f t="shared" si="15"/>
        <v/>
      </c>
      <c r="G78" s="281" t="str">
        <f t="shared" si="16"/>
        <v/>
      </c>
      <c r="H78" s="282" t="str">
        <f t="shared" si="17"/>
        <v/>
      </c>
      <c r="I78" s="283"/>
      <c r="J78" s="328"/>
      <c r="K78" s="324"/>
      <c r="L78" s="324"/>
      <c r="M78" s="329"/>
    </row>
    <row r="79" spans="2:13" x14ac:dyDescent="0.2">
      <c r="B79" s="325"/>
      <c r="C79" s="324"/>
      <c r="D79" s="324"/>
      <c r="E79" s="280" t="str">
        <f t="shared" si="14"/>
        <v/>
      </c>
      <c r="F79" s="281" t="str">
        <f t="shared" si="15"/>
        <v/>
      </c>
      <c r="G79" s="281" t="str">
        <f t="shared" si="16"/>
        <v/>
      </c>
      <c r="H79" s="282" t="str">
        <f t="shared" si="17"/>
        <v/>
      </c>
      <c r="I79" s="283"/>
      <c r="J79" s="328"/>
      <c r="K79" s="324"/>
      <c r="L79" s="324"/>
      <c r="M79" s="329"/>
    </row>
    <row r="80" spans="2:13" x14ac:dyDescent="0.2">
      <c r="B80" s="325"/>
      <c r="C80" s="324"/>
      <c r="D80" s="324"/>
      <c r="E80" s="280" t="str">
        <f t="shared" si="14"/>
        <v/>
      </c>
      <c r="F80" s="281" t="str">
        <f t="shared" si="15"/>
        <v/>
      </c>
      <c r="G80" s="281" t="str">
        <f t="shared" si="16"/>
        <v/>
      </c>
      <c r="H80" s="282" t="str">
        <f t="shared" si="17"/>
        <v/>
      </c>
      <c r="I80" s="283"/>
      <c r="J80" s="328"/>
      <c r="K80" s="324"/>
      <c r="L80" s="324"/>
      <c r="M80" s="329"/>
    </row>
    <row r="81" spans="2:13" x14ac:dyDescent="0.2">
      <c r="B81" s="325"/>
      <c r="C81" s="324"/>
      <c r="D81" s="324"/>
      <c r="E81" s="280" t="str">
        <f t="shared" si="14"/>
        <v/>
      </c>
      <c r="F81" s="281" t="str">
        <f t="shared" si="15"/>
        <v/>
      </c>
      <c r="G81" s="281" t="str">
        <f t="shared" si="16"/>
        <v/>
      </c>
      <c r="H81" s="282" t="str">
        <f t="shared" si="17"/>
        <v/>
      </c>
      <c r="I81" s="283"/>
      <c r="J81" s="328"/>
      <c r="K81" s="324"/>
      <c r="L81" s="324"/>
      <c r="M81" s="329"/>
    </row>
    <row r="82" spans="2:13" x14ac:dyDescent="0.2">
      <c r="B82" s="325"/>
      <c r="C82" s="324"/>
      <c r="D82" s="324"/>
      <c r="E82" s="280" t="str">
        <f t="shared" si="14"/>
        <v/>
      </c>
      <c r="F82" s="281" t="str">
        <f t="shared" si="15"/>
        <v/>
      </c>
      <c r="G82" s="281" t="str">
        <f t="shared" si="16"/>
        <v/>
      </c>
      <c r="H82" s="282" t="str">
        <f t="shared" si="17"/>
        <v/>
      </c>
      <c r="I82" s="283"/>
      <c r="J82" s="328"/>
      <c r="K82" s="324"/>
      <c r="L82" s="324"/>
      <c r="M82" s="329"/>
    </row>
    <row r="83" spans="2:13" x14ac:dyDescent="0.2">
      <c r="B83" s="325"/>
      <c r="C83" s="324"/>
      <c r="D83" s="324"/>
      <c r="E83" s="280" t="str">
        <f t="shared" si="14"/>
        <v/>
      </c>
      <c r="F83" s="281" t="str">
        <f t="shared" si="15"/>
        <v/>
      </c>
      <c r="G83" s="281" t="str">
        <f t="shared" si="16"/>
        <v/>
      </c>
      <c r="H83" s="282" t="str">
        <f t="shared" si="17"/>
        <v/>
      </c>
      <c r="I83" s="283"/>
      <c r="J83" s="328"/>
      <c r="K83" s="324"/>
      <c r="L83" s="324"/>
      <c r="M83" s="329"/>
    </row>
    <row r="84" spans="2:13" x14ac:dyDescent="0.2">
      <c r="B84" s="325"/>
      <c r="C84" s="324"/>
      <c r="D84" s="324"/>
      <c r="E84" s="280" t="str">
        <f t="shared" si="14"/>
        <v/>
      </c>
      <c r="F84" s="281" t="str">
        <f t="shared" si="15"/>
        <v/>
      </c>
      <c r="G84" s="281" t="str">
        <f t="shared" si="16"/>
        <v/>
      </c>
      <c r="H84" s="282" t="str">
        <f t="shared" si="17"/>
        <v/>
      </c>
      <c r="I84" s="283"/>
      <c r="J84" s="328"/>
      <c r="K84" s="324"/>
      <c r="L84" s="324"/>
      <c r="M84" s="329"/>
    </row>
    <row r="85" spans="2:13" x14ac:dyDescent="0.2">
      <c r="B85" s="325"/>
      <c r="C85" s="324"/>
      <c r="D85" s="324"/>
      <c r="E85" s="280" t="str">
        <f t="shared" si="14"/>
        <v/>
      </c>
      <c r="F85" s="281" t="str">
        <f t="shared" si="15"/>
        <v/>
      </c>
      <c r="G85" s="281" t="str">
        <f t="shared" si="16"/>
        <v/>
      </c>
      <c r="H85" s="282" t="str">
        <f t="shared" si="17"/>
        <v/>
      </c>
      <c r="I85" s="283"/>
      <c r="J85" s="328"/>
      <c r="K85" s="324"/>
      <c r="L85" s="324"/>
      <c r="M85" s="329"/>
    </row>
    <row r="86" spans="2:13" x14ac:dyDescent="0.2">
      <c r="B86" s="325"/>
      <c r="C86" s="324"/>
      <c r="D86" s="324"/>
      <c r="E86" s="280" t="str">
        <f t="shared" si="14"/>
        <v/>
      </c>
      <c r="F86" s="281" t="str">
        <f t="shared" si="15"/>
        <v/>
      </c>
      <c r="G86" s="281" t="str">
        <f t="shared" si="16"/>
        <v/>
      </c>
      <c r="H86" s="282" t="str">
        <f t="shared" si="17"/>
        <v/>
      </c>
      <c r="I86" s="283"/>
      <c r="J86" s="328"/>
      <c r="K86" s="324"/>
      <c r="L86" s="324"/>
      <c r="M86" s="329"/>
    </row>
    <row r="87" spans="2:13" x14ac:dyDescent="0.2">
      <c r="B87" s="325"/>
      <c r="C87" s="324"/>
      <c r="D87" s="324"/>
      <c r="E87" s="280" t="str">
        <f t="shared" si="14"/>
        <v/>
      </c>
      <c r="F87" s="281" t="str">
        <f t="shared" si="15"/>
        <v/>
      </c>
      <c r="G87" s="281" t="str">
        <f t="shared" si="16"/>
        <v/>
      </c>
      <c r="H87" s="282" t="str">
        <f t="shared" si="17"/>
        <v/>
      </c>
      <c r="I87" s="283"/>
      <c r="J87" s="328"/>
      <c r="K87" s="324"/>
      <c r="L87" s="324"/>
      <c r="M87" s="329"/>
    </row>
    <row r="88" spans="2:13" x14ac:dyDescent="0.2">
      <c r="B88" s="325"/>
      <c r="C88" s="324"/>
      <c r="D88" s="324"/>
      <c r="E88" s="280" t="str">
        <f t="shared" si="14"/>
        <v/>
      </c>
      <c r="F88" s="281" t="str">
        <f t="shared" si="15"/>
        <v/>
      </c>
      <c r="G88" s="281" t="str">
        <f t="shared" si="16"/>
        <v/>
      </c>
      <c r="H88" s="282" t="str">
        <f t="shared" si="17"/>
        <v/>
      </c>
      <c r="I88" s="283"/>
      <c r="J88" s="328"/>
      <c r="K88" s="324"/>
      <c r="L88" s="324"/>
      <c r="M88" s="329"/>
    </row>
    <row r="89" spans="2:13" x14ac:dyDescent="0.2">
      <c r="B89" s="325"/>
      <c r="C89" s="324"/>
      <c r="D89" s="324"/>
      <c r="E89" s="280" t="str">
        <f t="shared" si="14"/>
        <v/>
      </c>
      <c r="F89" s="281" t="str">
        <f t="shared" si="15"/>
        <v/>
      </c>
      <c r="G89" s="281" t="str">
        <f t="shared" si="16"/>
        <v/>
      </c>
      <c r="H89" s="282" t="str">
        <f t="shared" si="17"/>
        <v/>
      </c>
      <c r="I89" s="283"/>
      <c r="J89" s="328"/>
      <c r="K89" s="324"/>
      <c r="L89" s="324"/>
      <c r="M89" s="329"/>
    </row>
    <row r="90" spans="2:13" x14ac:dyDescent="0.2">
      <c r="B90" s="325"/>
      <c r="C90" s="324"/>
      <c r="D90" s="324"/>
      <c r="E90" s="280" t="str">
        <f t="shared" si="14"/>
        <v/>
      </c>
      <c r="F90" s="281" t="str">
        <f t="shared" si="15"/>
        <v/>
      </c>
      <c r="G90" s="281" t="str">
        <f t="shared" si="16"/>
        <v/>
      </c>
      <c r="H90" s="282" t="str">
        <f t="shared" si="17"/>
        <v/>
      </c>
      <c r="I90" s="283"/>
      <c r="J90" s="328"/>
      <c r="K90" s="324"/>
      <c r="L90" s="324"/>
      <c r="M90" s="329"/>
    </row>
    <row r="91" spans="2:13" x14ac:dyDescent="0.2">
      <c r="B91" s="325"/>
      <c r="C91" s="324"/>
      <c r="D91" s="324"/>
      <c r="E91" s="280" t="str">
        <f t="shared" si="14"/>
        <v/>
      </c>
      <c r="F91" s="281" t="str">
        <f t="shared" si="15"/>
        <v/>
      </c>
      <c r="G91" s="281" t="str">
        <f t="shared" si="16"/>
        <v/>
      </c>
      <c r="H91" s="282" t="str">
        <f t="shared" si="17"/>
        <v/>
      </c>
      <c r="I91" s="283"/>
      <c r="J91" s="328"/>
      <c r="K91" s="324"/>
      <c r="L91" s="324"/>
      <c r="M91" s="329"/>
    </row>
    <row r="92" spans="2:13" x14ac:dyDescent="0.2">
      <c r="B92" s="325"/>
      <c r="C92" s="324"/>
      <c r="D92" s="324"/>
      <c r="E92" s="280" t="str">
        <f t="shared" si="14"/>
        <v/>
      </c>
      <c r="F92" s="281" t="str">
        <f t="shared" si="15"/>
        <v/>
      </c>
      <c r="G92" s="281" t="str">
        <f t="shared" si="16"/>
        <v/>
      </c>
      <c r="H92" s="282" t="str">
        <f t="shared" si="17"/>
        <v/>
      </c>
      <c r="I92" s="283"/>
      <c r="J92" s="328"/>
      <c r="K92" s="324"/>
      <c r="L92" s="324"/>
      <c r="M92" s="329"/>
    </row>
    <row r="93" spans="2:13" x14ac:dyDescent="0.2">
      <c r="B93" s="325"/>
      <c r="C93" s="324"/>
      <c r="D93" s="324"/>
      <c r="E93" s="280" t="str">
        <f t="shared" si="14"/>
        <v/>
      </c>
      <c r="F93" s="281" t="str">
        <f t="shared" si="15"/>
        <v/>
      </c>
      <c r="G93" s="281" t="str">
        <f t="shared" si="16"/>
        <v/>
      </c>
      <c r="H93" s="282" t="str">
        <f t="shared" si="17"/>
        <v/>
      </c>
      <c r="I93" s="283"/>
      <c r="J93" s="328"/>
      <c r="K93" s="324"/>
      <c r="L93" s="324"/>
      <c r="M93" s="329"/>
    </row>
    <row r="94" spans="2:13" x14ac:dyDescent="0.2">
      <c r="B94" s="325"/>
      <c r="C94" s="324"/>
      <c r="D94" s="324"/>
      <c r="E94" s="280" t="str">
        <f t="shared" si="14"/>
        <v/>
      </c>
      <c r="F94" s="281" t="str">
        <f t="shared" si="15"/>
        <v/>
      </c>
      <c r="G94" s="281" t="str">
        <f t="shared" si="16"/>
        <v/>
      </c>
      <c r="H94" s="282" t="str">
        <f t="shared" si="17"/>
        <v/>
      </c>
      <c r="I94" s="283"/>
      <c r="J94" s="328"/>
      <c r="K94" s="324"/>
      <c r="L94" s="324"/>
      <c r="M94" s="329"/>
    </row>
    <row r="95" spans="2:13" x14ac:dyDescent="0.2">
      <c r="B95" s="325"/>
      <c r="C95" s="324"/>
      <c r="D95" s="324"/>
      <c r="E95" s="280" t="str">
        <f t="shared" si="14"/>
        <v/>
      </c>
      <c r="F95" s="281" t="str">
        <f t="shared" si="15"/>
        <v/>
      </c>
      <c r="G95" s="281" t="str">
        <f t="shared" si="16"/>
        <v/>
      </c>
      <c r="H95" s="282" t="str">
        <f t="shared" si="17"/>
        <v/>
      </c>
      <c r="I95" s="283"/>
      <c r="J95" s="328"/>
      <c r="K95" s="324"/>
      <c r="L95" s="324"/>
      <c r="M95" s="329"/>
    </row>
    <row r="96" spans="2:13" x14ac:dyDescent="0.2">
      <c r="B96" s="325"/>
      <c r="C96" s="324"/>
      <c r="D96" s="324"/>
      <c r="E96" s="280" t="str">
        <f t="shared" si="14"/>
        <v/>
      </c>
      <c r="F96" s="281" t="str">
        <f t="shared" si="15"/>
        <v/>
      </c>
      <c r="G96" s="281" t="str">
        <f t="shared" si="16"/>
        <v/>
      </c>
      <c r="H96" s="282" t="str">
        <f t="shared" si="17"/>
        <v/>
      </c>
      <c r="I96" s="283"/>
      <c r="J96" s="328"/>
      <c r="K96" s="324"/>
      <c r="L96" s="324"/>
      <c r="M96" s="329"/>
    </row>
    <row r="97" spans="2:13" x14ac:dyDescent="0.2">
      <c r="B97" s="325"/>
      <c r="C97" s="324"/>
      <c r="D97" s="324"/>
      <c r="E97" s="280" t="str">
        <f t="shared" si="14"/>
        <v/>
      </c>
      <c r="F97" s="281" t="str">
        <f t="shared" si="15"/>
        <v/>
      </c>
      <c r="G97" s="281" t="str">
        <f t="shared" si="16"/>
        <v/>
      </c>
      <c r="H97" s="282" t="str">
        <f t="shared" si="17"/>
        <v/>
      </c>
      <c r="I97" s="283"/>
      <c r="J97" s="328"/>
      <c r="K97" s="324"/>
      <c r="L97" s="324"/>
      <c r="M97" s="329"/>
    </row>
    <row r="98" spans="2:13" x14ac:dyDescent="0.2">
      <c r="B98" s="325"/>
      <c r="C98" s="324"/>
      <c r="D98" s="324"/>
      <c r="E98" s="280" t="str">
        <f t="shared" si="14"/>
        <v/>
      </c>
      <c r="F98" s="281" t="str">
        <f t="shared" si="15"/>
        <v/>
      </c>
      <c r="G98" s="281" t="str">
        <f t="shared" si="16"/>
        <v/>
      </c>
      <c r="H98" s="282" t="str">
        <f t="shared" si="17"/>
        <v/>
      </c>
      <c r="I98" s="283"/>
      <c r="J98" s="328"/>
      <c r="K98" s="324"/>
      <c r="L98" s="324"/>
      <c r="M98" s="329"/>
    </row>
    <row r="99" spans="2:13" x14ac:dyDescent="0.2">
      <c r="B99" s="325"/>
      <c r="C99" s="324"/>
      <c r="D99" s="324"/>
      <c r="E99" s="280" t="str">
        <f t="shared" si="14"/>
        <v/>
      </c>
      <c r="F99" s="281" t="str">
        <f t="shared" si="15"/>
        <v/>
      </c>
      <c r="G99" s="281" t="str">
        <f t="shared" si="16"/>
        <v/>
      </c>
      <c r="H99" s="282" t="str">
        <f t="shared" si="17"/>
        <v/>
      </c>
      <c r="I99" s="283"/>
      <c r="J99" s="328"/>
      <c r="K99" s="324"/>
      <c r="L99" s="324"/>
      <c r="M99" s="329"/>
    </row>
    <row r="100" spans="2:13" x14ac:dyDescent="0.2">
      <c r="B100" s="325"/>
      <c r="C100" s="324"/>
      <c r="D100" s="324"/>
      <c r="E100" s="280" t="str">
        <f t="shared" si="14"/>
        <v/>
      </c>
      <c r="F100" s="281" t="str">
        <f t="shared" si="15"/>
        <v/>
      </c>
      <c r="G100" s="281" t="str">
        <f t="shared" si="16"/>
        <v/>
      </c>
      <c r="H100" s="282" t="str">
        <f t="shared" si="17"/>
        <v/>
      </c>
      <c r="I100" s="283"/>
      <c r="J100" s="328"/>
      <c r="K100" s="324"/>
      <c r="L100" s="324"/>
      <c r="M100" s="329"/>
    </row>
    <row r="101" spans="2:13" x14ac:dyDescent="0.2">
      <c r="B101" s="325"/>
      <c r="C101" s="324"/>
      <c r="D101" s="324"/>
      <c r="E101" s="280" t="str">
        <f t="shared" si="14"/>
        <v/>
      </c>
      <c r="F101" s="281" t="str">
        <f t="shared" si="15"/>
        <v/>
      </c>
      <c r="G101" s="281" t="str">
        <f t="shared" si="16"/>
        <v/>
      </c>
      <c r="H101" s="282" t="str">
        <f t="shared" si="17"/>
        <v/>
      </c>
      <c r="I101" s="283"/>
      <c r="J101" s="328"/>
      <c r="K101" s="324"/>
      <c r="L101" s="324"/>
      <c r="M101" s="329"/>
    </row>
    <row r="102" spans="2:13" ht="13.5" thickBot="1" x14ac:dyDescent="0.25">
      <c r="B102" s="326"/>
      <c r="C102" s="327"/>
      <c r="D102" s="327"/>
      <c r="E102" s="286" t="str">
        <f t="shared" si="14"/>
        <v/>
      </c>
      <c r="F102" s="287" t="str">
        <f t="shared" si="15"/>
        <v/>
      </c>
      <c r="G102" s="287" t="str">
        <f t="shared" si="16"/>
        <v/>
      </c>
      <c r="H102" s="289" t="str">
        <f t="shared" si="17"/>
        <v/>
      </c>
      <c r="I102" s="284"/>
      <c r="J102" s="330"/>
      <c r="K102" s="327"/>
      <c r="L102" s="327"/>
      <c r="M102" s="33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0.59999389629810485"/>
  </sheetPr>
  <dimension ref="A1:X100"/>
  <sheetViews>
    <sheetView showGridLines="0" zoomScale="85" zoomScaleNormal="85" workbookViewId="0">
      <pane ySplit="5" topLeftCell="A6" activePane="bottomLeft" state="frozen"/>
      <selection pane="bottomLeft" activeCell="L13" sqref="L13"/>
    </sheetView>
  </sheetViews>
  <sheetFormatPr defaultRowHeight="12.75" x14ac:dyDescent="0.2"/>
  <cols>
    <col min="1" max="1" width="2.5703125" style="265" customWidth="1"/>
    <col min="2" max="2" width="5.85546875" style="265" customWidth="1"/>
    <col min="3" max="3" width="53.7109375" style="265" customWidth="1"/>
    <col min="4" max="4" width="4" style="265" customWidth="1"/>
    <col min="5" max="9" width="10.85546875" style="265" customWidth="1"/>
    <col min="10" max="10" width="0.85546875" style="265" customWidth="1"/>
    <col min="11" max="11" width="10.85546875" style="265" customWidth="1"/>
    <col min="12" max="12" width="10.28515625" style="265" customWidth="1"/>
    <col min="13" max="13" width="2.7109375" style="265" customWidth="1"/>
    <col min="14" max="14" width="36.28515625" style="265" bestFit="1" customWidth="1"/>
    <col min="15" max="15" width="41.7109375" style="265" bestFit="1" customWidth="1"/>
    <col min="16" max="16" width="3.5703125" style="265" customWidth="1"/>
    <col min="17" max="21" width="10.85546875" style="265" customWidth="1"/>
    <col min="22" max="22" width="0.85546875" style="265" customWidth="1"/>
    <col min="23" max="23" width="10.85546875" style="265" customWidth="1"/>
    <col min="24" max="24" width="10.7109375" style="265" customWidth="1"/>
    <col min="25" max="16384" width="9.140625" style="265"/>
  </cols>
  <sheetData>
    <row r="1" spans="1:24" x14ac:dyDescent="0.2">
      <c r="B1" s="263" t="str">
        <f>"Tariff Approval - " &amp;Input!E3</f>
        <v>Tariff Approval - AusNet Services</v>
      </c>
      <c r="C1" s="263"/>
      <c r="D1" s="264" t="s">
        <v>143</v>
      </c>
    </row>
    <row r="2" spans="1:24" x14ac:dyDescent="0.2">
      <c r="G2" s="342" t="s">
        <v>155</v>
      </c>
      <c r="H2" s="342"/>
      <c r="I2" s="342"/>
      <c r="J2" s="342"/>
      <c r="K2" s="342"/>
      <c r="L2" s="342"/>
      <c r="M2" s="342"/>
      <c r="N2" s="305"/>
      <c r="O2" s="305"/>
      <c r="P2" s="305"/>
      <c r="Q2" s="305"/>
    </row>
    <row r="3" spans="1:24" ht="13.5" thickBot="1" x14ac:dyDescent="0.25"/>
    <row r="4" spans="1:24" x14ac:dyDescent="0.2">
      <c r="B4" s="269" t="s">
        <v>146</v>
      </c>
      <c r="C4" s="270"/>
      <c r="D4" s="271"/>
      <c r="E4" s="272" t="s">
        <v>156</v>
      </c>
      <c r="F4" s="271"/>
      <c r="G4" s="271"/>
      <c r="H4" s="271"/>
      <c r="I4" s="273"/>
      <c r="J4" s="271"/>
      <c r="K4" s="272" t="s">
        <v>157</v>
      </c>
      <c r="L4" s="274"/>
      <c r="N4" s="269" t="s">
        <v>149</v>
      </c>
      <c r="O4" s="270"/>
      <c r="P4" s="271"/>
      <c r="Q4" s="272" t="s">
        <v>156</v>
      </c>
      <c r="R4" s="271"/>
      <c r="S4" s="271"/>
      <c r="T4" s="271"/>
      <c r="U4" s="273"/>
      <c r="V4" s="271"/>
      <c r="W4" s="272" t="s">
        <v>157</v>
      </c>
      <c r="X4" s="274"/>
    </row>
    <row r="5" spans="1:24" x14ac:dyDescent="0.2">
      <c r="B5" s="275" t="s">
        <v>150</v>
      </c>
      <c r="C5" s="276"/>
      <c r="D5" s="276"/>
      <c r="E5" s="277" t="s">
        <v>38</v>
      </c>
      <c r="F5" s="276" t="s">
        <v>71</v>
      </c>
      <c r="G5" s="276" t="s">
        <v>72</v>
      </c>
      <c r="H5" s="276" t="s">
        <v>73</v>
      </c>
      <c r="I5" s="278" t="s">
        <v>74</v>
      </c>
      <c r="J5" s="276"/>
      <c r="K5" s="277" t="str">
        <f>Input!E7</f>
        <v>2021/22</v>
      </c>
      <c r="L5" s="279" t="s">
        <v>158</v>
      </c>
      <c r="N5" s="275" t="s">
        <v>150</v>
      </c>
      <c r="O5" s="276"/>
      <c r="P5" s="276"/>
      <c r="Q5" s="277" t="s">
        <v>38</v>
      </c>
      <c r="R5" s="276" t="s">
        <v>71</v>
      </c>
      <c r="S5" s="276" t="s">
        <v>72</v>
      </c>
      <c r="T5" s="276" t="s">
        <v>73</v>
      </c>
      <c r="U5" s="278" t="s">
        <v>74</v>
      </c>
      <c r="V5" s="276"/>
      <c r="W5" s="277" t="str">
        <f>K5</f>
        <v>2021/22</v>
      </c>
      <c r="X5" s="279" t="s">
        <v>158</v>
      </c>
    </row>
    <row r="6" spans="1:24" x14ac:dyDescent="0.2">
      <c r="A6" s="290">
        <v>1</v>
      </c>
      <c r="B6" s="291" t="str">
        <f>IF('ACS escalators'!B8="","",'ACS escalators'!B8)</f>
        <v>Connections</v>
      </c>
      <c r="C6" s="292" t="str">
        <f>IF('ACS escalators'!C8="","",'ACS escalators'!C8)</f>
        <v/>
      </c>
      <c r="D6" s="283" t="str">
        <f>IF('ACS escalators'!D8="","",'ACS escalators'!D8)</f>
        <v/>
      </c>
      <c r="E6" s="340"/>
      <c r="F6" s="293" t="str">
        <f>IF(E6="","",E6*(1+Input!$H$20)*(1-'ACS escalators'!E8)+'ACS escalators'!J8)</f>
        <v/>
      </c>
      <c r="G6" s="293" t="str">
        <f>IF(F6="","",F6*(1+Input!$H$21)*(1-'ACS escalators'!F8)+'ACS escalators'!K8)</f>
        <v/>
      </c>
      <c r="H6" s="293" t="str">
        <f>IF(G6="","",G6*(1+Input!$H$22)*(1-'ACS escalators'!G8)+'ACS escalators'!L8)</f>
        <v/>
      </c>
      <c r="I6" s="294" t="str">
        <f>IF(H6="","",H6*(1+Input!$H$23)*(1-'ACS escalators'!H8)+'ACS escalators'!M8)</f>
        <v/>
      </c>
      <c r="J6" s="283"/>
      <c r="K6" s="295" t="str">
        <f>IF(INDEX($E$6:$I$100,MATCH(A6,$A$6:$A$100,0),MATCH($K$5,$E$5:$I$5,0))="","",ROUND(INDEX($E$6:$I$100,MATCH(A6,$A$6:$A$100,0),MATCH($K$5,$E$5:$I$5,0)),2))</f>
        <v/>
      </c>
      <c r="L6" s="296" t="str">
        <f>IF(K6="","",IF(K6&lt;=ROUND(INDEX($E$6:$I$100,MATCH(A6,$A$6:$A$100,0),MATCH($K$5,$E$5:$I$5,0)),2),"YES", "NO"))</f>
        <v/>
      </c>
      <c r="N6" s="297" t="str">
        <f>IF('ACS escalators'!O8="","",'ACS escalators'!O8)</f>
        <v/>
      </c>
      <c r="O6" s="283" t="str">
        <f>IF('ACS escalators'!P8="","",'ACS escalators'!P8)</f>
        <v/>
      </c>
      <c r="P6" s="283" t="str">
        <f>IF('ACS escalators'!Q8="","",'ACS escalators'!Q8)</f>
        <v/>
      </c>
      <c r="Q6" s="340"/>
      <c r="R6" s="293" t="str">
        <f>IF(Q6="","",Q6*(1+Input!$H$20)*(1-'ACS escalators'!R8)+'ACS escalators'!W8)</f>
        <v/>
      </c>
      <c r="S6" s="293" t="str">
        <f>IF(R6="","",R6*(1+Input!$H$21)*(1-'ACS escalators'!S8)+'ACS escalators'!X8)</f>
        <v/>
      </c>
      <c r="T6" s="293" t="str">
        <f>IF(S6="","",S6*(1+Input!$H$22)*(1-'ACS escalators'!T8)+'ACS escalators'!Y8)</f>
        <v/>
      </c>
      <c r="U6" s="294" t="str">
        <f>IF(T6="","",T6*(1+Input!$H$23)*(1-'ACS escalators'!U8)+'ACS escalators'!Z8)</f>
        <v/>
      </c>
      <c r="V6" s="283"/>
      <c r="W6" s="295" t="str">
        <f t="shared" ref="W6:W20" si="0">IF(INDEX($Q$6:$U$20,MATCH(A6,$A$6:$A$20,0),MATCH($W$5,$Q$5:$U$5,0))="","",ROUND(INDEX($Q$6:$U$20,MATCH(A6,$A$6:$A$20,0),MATCH($W$5,$Q$5:$U$5,0)),2))</f>
        <v/>
      </c>
      <c r="X6" s="296" t="str">
        <f t="shared" ref="X6:X20" si="1">IF(W6="","",IF(W6&lt;=ROUND(INDEX($Q$6:$U$20,MATCH(A6,$A$6:$A$20,0),MATCH($W$5,$Q$5:$U$5,0)),2),"YES", "NO"))</f>
        <v/>
      </c>
    </row>
    <row r="7" spans="1:24" x14ac:dyDescent="0.2">
      <c r="A7" s="290">
        <v>2</v>
      </c>
      <c r="B7" s="297" t="str">
        <f>IF('ACS escalators'!B9="","",'ACS escalators'!B9)</f>
        <v/>
      </c>
      <c r="C7" s="283" t="str">
        <f>IF('ACS escalators'!C9="","",'ACS escalators'!C9)</f>
        <v>Single-phase overhead</v>
      </c>
      <c r="D7" s="283" t="str">
        <f>IF('ACS escalators'!D9="","",'ACS escalators'!D9)</f>
        <v>BH</v>
      </c>
      <c r="E7" s="340">
        <v>498.35400706567941</v>
      </c>
      <c r="F7" s="293">
        <f>IF(E7="","",E7*(1+Input!$H$20)*(1-'ACS escalators'!E9)+'ACS escalators'!J9)</f>
        <v>511.68658724494202</v>
      </c>
      <c r="G7" s="293">
        <f>IF(F7="","",F7*(1+Input!$H$21)*(1-'ACS escalators'!F9)+'ACS escalators'!K9)</f>
        <v>525.09632195582822</v>
      </c>
      <c r="H7" s="293">
        <f>IF(G7="","",G7*(1+Input!$H$22)*(1-'ACS escalators'!G9)+'ACS escalators'!L9)</f>
        <v>539.51972553235214</v>
      </c>
      <c r="I7" s="294">
        <f>IF(H7="","",H7*(1+Input!$H$23)*(1-'ACS escalators'!H9)+'ACS escalators'!M9)</f>
        <v>555.53993930816785</v>
      </c>
      <c r="J7" s="283"/>
      <c r="K7" s="295">
        <f>IF(INDEX($E$6:$I$100,MATCH(A7,$A$6:$A$100,0),MATCH($K$5,$E$5:$I$5,0))="","",ROUND(INDEX($E$6:$I$100,MATCH(A7,$A$6:$A$100,0),MATCH($K$5,$E$5:$I$5,0)),2))</f>
        <v>498.35</v>
      </c>
      <c r="L7" s="296" t="str">
        <f t="shared" ref="L7:L70" si="2">IF(K7="","",IF(K7&lt;=ROUND(INDEX($E$6:$I$100,MATCH(A7,$A$6:$A$100,0),MATCH($K$5,$E$5:$I$5,0)),2),"YES", "NO"))</f>
        <v>YES</v>
      </c>
      <c r="N7" s="297" t="str">
        <f>IF('ACS escalators'!O9="","",'ACS escalators'!O9)</f>
        <v xml:space="preserve">Single phase single element </v>
      </c>
      <c r="O7" s="283" t="str">
        <f>IF('ACS escalators'!P9="","",'ACS escalators'!P9)</f>
        <v/>
      </c>
      <c r="P7" s="283" t="str">
        <f>IF('ACS escalators'!Q9="","",'ACS escalators'!Q9)</f>
        <v/>
      </c>
      <c r="Q7" s="340">
        <v>364.36513452088491</v>
      </c>
      <c r="R7" s="293">
        <f>IF(Q7="","",Q7*(1+Input!$H$20)*(1-'ACS escalators'!R9)+'ACS escalators'!W9)</f>
        <v>348.98557768775493</v>
      </c>
      <c r="S7" s="293">
        <f>IF(R7="","",R7*(1+Input!$H$21)*(1-'ACS escalators'!S9)+'ACS escalators'!X9)</f>
        <v>330.51410254648619</v>
      </c>
      <c r="T7" s="293">
        <f>IF(S7="","",S7*(1+Input!$H$22)*(1-'ACS escalators'!T9)+'ACS escalators'!Y9)</f>
        <v>309.52248852585171</v>
      </c>
      <c r="U7" s="294">
        <f>IF(T7="","",T7*(1+Input!$H$23)*(1-'ACS escalators'!U9)+'ACS escalators'!Z9)</f>
        <v>286.85128734191147</v>
      </c>
      <c r="V7" s="283"/>
      <c r="W7" s="295">
        <f t="shared" si="0"/>
        <v>364.37</v>
      </c>
      <c r="X7" s="296" t="str">
        <f t="shared" si="1"/>
        <v>YES</v>
      </c>
    </row>
    <row r="8" spans="1:24" x14ac:dyDescent="0.2">
      <c r="A8" s="290">
        <v>3</v>
      </c>
      <c r="B8" s="297" t="str">
        <f>IF('ACS escalators'!B10="","",'ACS escalators'!B10)</f>
        <v/>
      </c>
      <c r="C8" s="283" t="str">
        <f>IF('ACS escalators'!C10="","",'ACS escalators'!C10)</f>
        <v/>
      </c>
      <c r="D8" s="283" t="str">
        <f>IF('ACS escalators'!D10="","",'ACS escalators'!D10)</f>
        <v>AH</v>
      </c>
      <c r="E8" s="340">
        <v>872.11951236493894</v>
      </c>
      <c r="F8" s="293">
        <f>IF(E8="","",E8*(1+Input!$H$20)*(1-'ACS escalators'!E10)+'ACS escalators'!J10)</f>
        <v>895.45152767864852</v>
      </c>
      <c r="G8" s="293">
        <f>IF(F8="","",F8*(1+Input!$H$21)*(1-'ACS escalators'!F10)+'ACS escalators'!K10)</f>
        <v>918.91856342269921</v>
      </c>
      <c r="H8" s="293">
        <f>IF(G8="","",G8*(1+Input!$H$22)*(1-'ACS escalators'!G10)+'ACS escalators'!L10)</f>
        <v>944.15951968161608</v>
      </c>
      <c r="I8" s="294">
        <f>IF(H8="","",H8*(1+Input!$H$23)*(1-'ACS escalators'!H10)+'ACS escalators'!M10)</f>
        <v>972.19489378929347</v>
      </c>
      <c r="J8" s="283"/>
      <c r="K8" s="295">
        <f>IF(INDEX($E$6:$I$100,MATCH(A8,$A$6:$A$100,0),MATCH($K$5,$E$5:$I$5,0))="","",ROUND(INDEX($E$6:$I$100,MATCH(A8,$A$6:$A$100,0),MATCH($K$5,$E$5:$I$5,0)),2))</f>
        <v>872.12</v>
      </c>
      <c r="L8" s="296" t="str">
        <f t="shared" si="2"/>
        <v>YES</v>
      </c>
      <c r="N8" s="297" t="str">
        <f>IF('ACS escalators'!O10="","",'ACS escalators'!O10)</f>
        <v>Single phase two element with contactor</v>
      </c>
      <c r="O8" s="283" t="str">
        <f>IF('ACS escalators'!P10="","",'ACS escalators'!P10)</f>
        <v/>
      </c>
      <c r="P8" s="283" t="str">
        <f>IF('ACS escalators'!Q10="","",'ACS escalators'!Q10)</f>
        <v/>
      </c>
      <c r="Q8" s="340">
        <v>361.3229075933271</v>
      </c>
      <c r="R8" s="293">
        <f>IF(Q8="","",Q8*(1+Input!$H$20)*(1-'ACS escalators'!R10)+'ACS escalators'!W10)</f>
        <v>346.34441798215903</v>
      </c>
      <c r="S8" s="293">
        <f>IF(R8="","",R8*(1+Input!$H$21)*(1-'ACS escalators'!S10)+'ACS escalators'!X10)</f>
        <v>328.26867852471645</v>
      </c>
      <c r="T8" s="293">
        <f>IF(S8="","",S8*(1+Input!$H$22)*(1-'ACS escalators'!T10)+'ACS escalators'!Y10)</f>
        <v>307.66308422520768</v>
      </c>
      <c r="U8" s="294">
        <f>IF(T8="","",T8*(1+Input!$H$23)*(1-'ACS escalators'!U10)+'ACS escalators'!Z10)</f>
        <v>286.85128734191153</v>
      </c>
      <c r="V8" s="283"/>
      <c r="W8" s="295">
        <f t="shared" si="0"/>
        <v>361.32</v>
      </c>
      <c r="X8" s="296" t="str">
        <f t="shared" si="1"/>
        <v>YES</v>
      </c>
    </row>
    <row r="9" spans="1:24" x14ac:dyDescent="0.2">
      <c r="A9" s="290">
        <v>4</v>
      </c>
      <c r="B9" s="297" t="str">
        <f>IF('ACS escalators'!B11="","",'ACS escalators'!B11)</f>
        <v/>
      </c>
      <c r="C9" s="283" t="str">
        <f>IF('ACS escalators'!C11="","",'ACS escalators'!C11)</f>
        <v>Single-phase underground</v>
      </c>
      <c r="D9" s="283" t="str">
        <f>IF('ACS escalators'!D11="","",'ACS escalators'!D11)</f>
        <v>BH</v>
      </c>
      <c r="E9" s="340">
        <v>219.01426454673765</v>
      </c>
      <c r="F9" s="293">
        <f>IF(E9="","",E9*(1+Input!$H$20)*(1-'ACS escalators'!E11)+'ACS escalators'!J11)</f>
        <v>224.87360389401167</v>
      </c>
      <c r="G9" s="293">
        <f>IF(F9="","",F9*(1+Input!$H$21)*(1-'ACS escalators'!F11)+'ACS escalators'!K11)</f>
        <v>230.76685075032626</v>
      </c>
      <c r="H9" s="293">
        <f>IF(G9="","",G9*(1+Input!$H$22)*(1-'ACS escalators'!G11)+'ACS escalators'!L11)</f>
        <v>237.10558001062265</v>
      </c>
      <c r="I9" s="294">
        <f>IF(H9="","",H9*(1+Input!$H$23)*(1-'ACS escalators'!H11)+'ACS escalators'!M11)</f>
        <v>244.14606787315805</v>
      </c>
      <c r="J9" s="283"/>
      <c r="K9" s="295">
        <f t="shared" ref="K9:K71" si="3">IF(INDEX($E$6:$I$100,MATCH(A9,$A$6:$A$100,0),MATCH($K$5,$E$5:$I$5,0))="","",ROUND(INDEX($E$6:$I$100,MATCH(A9,$A$6:$A$100,0),MATCH($K$5,$E$5:$I$5,0)),2))</f>
        <v>219.01</v>
      </c>
      <c r="L9" s="296" t="str">
        <f t="shared" si="2"/>
        <v>YES</v>
      </c>
      <c r="N9" s="297" t="str">
        <f>IF('ACS escalators'!O11="","",'ACS escalators'!O11)</f>
        <v xml:space="preserve">Multiphase </v>
      </c>
      <c r="O9" s="283" t="str">
        <f>IF('ACS escalators'!P11="","",'ACS escalators'!P11)</f>
        <v/>
      </c>
      <c r="P9" s="283" t="str">
        <f>IF('ACS escalators'!Q11="","",'ACS escalators'!Q11)</f>
        <v/>
      </c>
      <c r="Q9" s="340">
        <v>363.03795829347507</v>
      </c>
      <c r="R9" s="293">
        <f>IF(Q9="","",Q9*(1+Input!$H$20)*(1-'ACS escalators'!R11)+'ACS escalators'!W11)</f>
        <v>347.8510301103986</v>
      </c>
      <c r="S9" s="293">
        <f>IF(R9="","",R9*(1+Input!$H$21)*(1-'ACS escalators'!S11)+'ACS escalators'!X11)</f>
        <v>329.56425848451175</v>
      </c>
      <c r="T9" s="293">
        <f>IF(S9="","",S9*(1+Input!$H$22)*(1-'ACS escalators'!T11)+'ACS escalators'!Y11)</f>
        <v>308.74815896273594</v>
      </c>
      <c r="U9" s="294">
        <f>IF(T9="","",T9*(1+Input!$H$23)*(1-'ACS escalators'!U11)+'ACS escalators'!Z11)</f>
        <v>286.85128734191147</v>
      </c>
      <c r="V9" s="283"/>
      <c r="W9" s="295">
        <f t="shared" si="0"/>
        <v>363.04</v>
      </c>
      <c r="X9" s="296" t="str">
        <f t="shared" si="1"/>
        <v>YES</v>
      </c>
    </row>
    <row r="10" spans="1:24" x14ac:dyDescent="0.2">
      <c r="A10" s="290">
        <v>5</v>
      </c>
      <c r="B10" s="297" t="str">
        <f>IF('ACS escalators'!B12="","",'ACS escalators'!B12)</f>
        <v/>
      </c>
      <c r="C10" s="283" t="str">
        <f>IF('ACS escalators'!C12="","",'ACS escalators'!C12)</f>
        <v/>
      </c>
      <c r="D10" s="283" t="str">
        <f>IF('ACS escalators'!D12="","",'ACS escalators'!D12)</f>
        <v>AH</v>
      </c>
      <c r="E10" s="340">
        <v>383.27496295679089</v>
      </c>
      <c r="F10" s="293">
        <f>IF(E10="","",E10*(1+Input!$H$20)*(1-'ACS escalators'!E12)+'ACS escalators'!J12)</f>
        <v>393.52880681452041</v>
      </c>
      <c r="G10" s="293">
        <f>IF(F10="","",F10*(1+Input!$H$21)*(1-'ACS escalators'!F12)+'ACS escalators'!K12)</f>
        <v>403.84198881307088</v>
      </c>
      <c r="H10" s="293">
        <f>IF(G10="","",G10*(1+Input!$H$22)*(1-'ACS escalators'!G12)+'ACS escalators'!L12)</f>
        <v>414.93476501858959</v>
      </c>
      <c r="I10" s="294">
        <f>IF(H10="","",H10*(1+Input!$H$23)*(1-'ACS escalators'!H12)+'ACS escalators'!M12)</f>
        <v>427.25561877802647</v>
      </c>
      <c r="J10" s="283"/>
      <c r="K10" s="295">
        <f t="shared" si="3"/>
        <v>383.27</v>
      </c>
      <c r="L10" s="296" t="str">
        <f t="shared" si="2"/>
        <v>YES</v>
      </c>
      <c r="N10" s="297" t="str">
        <f>IF('ACS escalators'!O12="","",'ACS escalators'!O12)</f>
        <v>Multiphase with contactor</v>
      </c>
      <c r="O10" s="283" t="str">
        <f>IF('ACS escalators'!P12="","",'ACS escalators'!P12)</f>
        <v/>
      </c>
      <c r="P10" s="283" t="str">
        <f>IF('ACS escalators'!Q12="","",'ACS escalators'!Q12)</f>
        <v/>
      </c>
      <c r="Q10" s="340">
        <v>363.03798327498509</v>
      </c>
      <c r="R10" s="293">
        <f>IF(Q10="","",Q10*(1+Input!$H$20)*(1-'ACS escalators'!R12)+'ACS escalators'!W12)</f>
        <v>347.85105171903319</v>
      </c>
      <c r="S10" s="293">
        <f>IF(R10="","",R10*(1+Input!$H$21)*(1-'ACS escalators'!S12)+'ACS escalators'!X12)</f>
        <v>329.56427678116904</v>
      </c>
      <c r="T10" s="293">
        <f>IF(S10="","",S10*(1+Input!$H$22)*(1-'ACS escalators'!T12)+'ACS escalators'!Y12)</f>
        <v>308.7481740520987</v>
      </c>
      <c r="U10" s="294">
        <f>IF(T10="","",T10*(1+Input!$H$23)*(1-'ACS escalators'!U12)+'ACS escalators'!Z12)</f>
        <v>286.85128734191147</v>
      </c>
      <c r="V10" s="283"/>
      <c r="W10" s="295">
        <f t="shared" si="0"/>
        <v>363.04</v>
      </c>
      <c r="X10" s="296" t="str">
        <f t="shared" si="1"/>
        <v>YES</v>
      </c>
    </row>
    <row r="11" spans="1:24" x14ac:dyDescent="0.2">
      <c r="A11" s="290">
        <v>6</v>
      </c>
      <c r="B11" s="297" t="str">
        <f>IF('ACS escalators'!B13="","",'ACS escalators'!B13)</f>
        <v/>
      </c>
      <c r="C11" s="283" t="str">
        <f>IF('ACS escalators'!C13="","",'ACS escalators'!C13)</f>
        <v>Single-phase underground with a directly connected meter on group metering panel</v>
      </c>
      <c r="D11" s="283" t="str">
        <f>IF('ACS escalators'!D13="","",'ACS escalators'!D13)</f>
        <v/>
      </c>
      <c r="E11" s="340">
        <v>472.23176631830592</v>
      </c>
      <c r="F11" s="293">
        <f>IF(E11="","",E11*(1+Input!$H$20)*(1-'ACS escalators'!E13)+'ACS escalators'!J13)</f>
        <v>484.86549214044794</v>
      </c>
      <c r="G11" s="293">
        <f>IF(F11="","",F11*(1+Input!$H$21)*(1-'ACS escalators'!F13)+'ACS escalators'!K13)</f>
        <v>497.57232828222516</v>
      </c>
      <c r="H11" s="293">
        <f>IF(G11="","",G11*(1+Input!$H$22)*(1-'ACS escalators'!G13)+'ACS escalators'!L13)</f>
        <v>511.23969977055356</v>
      </c>
      <c r="I11" s="294">
        <f>IF(H11="","",H11*(1+Input!$H$23)*(1-'ACS escalators'!H13)+'ACS escalators'!M13)</f>
        <v>526.42018139785046</v>
      </c>
      <c r="J11" s="283"/>
      <c r="K11" s="295">
        <f t="shared" si="3"/>
        <v>472.23</v>
      </c>
      <c r="L11" s="296" t="str">
        <f t="shared" si="2"/>
        <v>YES</v>
      </c>
      <c r="N11" s="297" t="str">
        <f>IF('ACS escalators'!O13="","",'ACS escalators'!O13)</f>
        <v>Multiphase current transformer connected</v>
      </c>
      <c r="O11" s="283" t="str">
        <f>IF('ACS escalators'!P13="","",'ACS escalators'!P13)</f>
        <v/>
      </c>
      <c r="P11" s="283" t="str">
        <f>IF('ACS escalators'!Q13="","",'ACS escalators'!Q13)</f>
        <v/>
      </c>
      <c r="Q11" s="340">
        <v>363.20747457757113</v>
      </c>
      <c r="R11" s="293">
        <f>IF(Q11="","",Q11*(1+Input!$H$20)*(1-'ACS escalators'!R13)+'ACS escalators'!W13)</f>
        <v>347.99126121894062</v>
      </c>
      <c r="S11" s="293">
        <f>IF(R11="","",R11*(1+Input!$H$21)*(1-'ACS escalators'!S13)+'ACS escalators'!X13)</f>
        <v>329.68281083553876</v>
      </c>
      <c r="T11" s="293">
        <f>IF(S11="","",S11*(1+Input!$H$22)*(1-'ACS escalators'!T13)+'ACS escalators'!Y13)</f>
        <v>308.84896856677068</v>
      </c>
      <c r="U11" s="294">
        <f>IF(T11="","",T11*(1+Input!$H$23)*(1-'ACS escalators'!U13)+'ACS escalators'!Z13)</f>
        <v>286.85128734191147</v>
      </c>
      <c r="V11" s="283"/>
      <c r="W11" s="295">
        <f t="shared" si="0"/>
        <v>363.21</v>
      </c>
      <c r="X11" s="296" t="str">
        <f t="shared" si="1"/>
        <v>YES</v>
      </c>
    </row>
    <row r="12" spans="1:24" x14ac:dyDescent="0.2">
      <c r="A12" s="290">
        <v>7</v>
      </c>
      <c r="B12" s="297" t="str">
        <f>IF('ACS escalators'!B14="","",'ACS escalators'!B14)</f>
        <v/>
      </c>
      <c r="C12" s="283" t="str">
        <f>IF('ACS escalators'!C14="","",'ACS escalators'!C14)</f>
        <v>Multi-phase overhead with a directly connected meter</v>
      </c>
      <c r="D12" s="283" t="str">
        <f>IF('ACS escalators'!D14="","",'ACS escalators'!D14)</f>
        <v>BH</v>
      </c>
      <c r="E12" s="340">
        <v>566.342603434745</v>
      </c>
      <c r="F12" s="293">
        <f>IF(E12="","",E12*(1+Input!$H$20)*(1-'ACS escalators'!E14)+'ACS escalators'!J14)</f>
        <v>581.49409828011699</v>
      </c>
      <c r="G12" s="293">
        <f>IF(F12="","",F12*(1+Input!$H$21)*(1-'ACS escalators'!F14)+'ACS escalators'!K14)</f>
        <v>596.73327356486914</v>
      </c>
      <c r="H12" s="293">
        <f>IF(G12="","",G12*(1+Input!$H$22)*(1-'ACS escalators'!G14)+'ACS escalators'!L14)</f>
        <v>613.12440881431849</v>
      </c>
      <c r="I12" s="294">
        <f>IF(H12="","",H12*(1+Input!$H$23)*(1-'ACS escalators'!H14)+'ACS escalators'!M14)</f>
        <v>631.33020118026786</v>
      </c>
      <c r="J12" s="283"/>
      <c r="K12" s="295">
        <f t="shared" si="3"/>
        <v>566.34</v>
      </c>
      <c r="L12" s="296" t="str">
        <f t="shared" si="2"/>
        <v>YES</v>
      </c>
      <c r="N12" s="297" t="str">
        <f>IF('ACS escalators'!O14="","",'ACS escalators'!O14)</f>
        <v/>
      </c>
      <c r="O12" s="283" t="str">
        <f>IF('ACS escalators'!P14="","",'ACS escalators'!P14)</f>
        <v/>
      </c>
      <c r="P12" s="283" t="str">
        <f>IF('ACS escalators'!Q14="","",'ACS escalators'!Q14)</f>
        <v/>
      </c>
      <c r="Q12" s="340"/>
      <c r="R12" s="293" t="str">
        <f>IF(Q12="","",Q12*(1+Input!$H$20)*(1-'ACS escalators'!R14)+'ACS escalators'!W14)</f>
        <v/>
      </c>
      <c r="S12" s="293" t="str">
        <f>IF(R12="","",R12*(1+Input!$H$21)*(1-'ACS escalators'!S14)+'ACS escalators'!X14)</f>
        <v/>
      </c>
      <c r="T12" s="293" t="str">
        <f>IF(S12="","",S12*(1+Input!$H$22)*(1-'ACS escalators'!T14)+'ACS escalators'!Y14)</f>
        <v/>
      </c>
      <c r="U12" s="294" t="str">
        <f>IF(T12="","",T12*(1+Input!$H$23)*(1-'ACS escalators'!U14)+'ACS escalators'!Z14)</f>
        <v/>
      </c>
      <c r="V12" s="283"/>
      <c r="W12" s="295" t="str">
        <f t="shared" si="0"/>
        <v/>
      </c>
      <c r="X12" s="296" t="str">
        <f t="shared" si="1"/>
        <v/>
      </c>
    </row>
    <row r="13" spans="1:24" x14ac:dyDescent="0.2">
      <c r="A13" s="290">
        <v>8</v>
      </c>
      <c r="B13" s="297" t="str">
        <f>IF('ACS escalators'!B15="","",'ACS escalators'!B15)</f>
        <v/>
      </c>
      <c r="C13" s="283" t="str">
        <f>IF('ACS escalators'!C15="","",'ACS escalators'!C15)</f>
        <v/>
      </c>
      <c r="D13" s="283" t="str">
        <f>IF('ACS escalators'!D15="","",'ACS escalators'!D15)</f>
        <v>AH</v>
      </c>
      <c r="E13" s="340">
        <v>991.09955601080389</v>
      </c>
      <c r="F13" s="293">
        <f>IF(E13="","",E13*(1+Input!$H$20)*(1-'ACS escalators'!E15)+'ACS escalators'!J15)</f>
        <v>1017.6146719902048</v>
      </c>
      <c r="G13" s="293">
        <f>IF(F13="","",F13*(1+Input!$H$21)*(1-'ACS escalators'!F15)+'ACS escalators'!K15)</f>
        <v>1044.2832287385213</v>
      </c>
      <c r="H13" s="293">
        <f>IF(G13="","",G13*(1+Input!$H$22)*(1-'ACS escalators'!G15)+'ACS escalators'!L15)</f>
        <v>1072.9677154250576</v>
      </c>
      <c r="I13" s="294">
        <f>IF(H13="","",H13*(1+Input!$H$23)*(1-'ACS escalators'!H15)+'ACS escalators'!M15)</f>
        <v>1104.827852065469</v>
      </c>
      <c r="J13" s="283"/>
      <c r="K13" s="295">
        <f t="shared" si="3"/>
        <v>991.1</v>
      </c>
      <c r="L13" s="296" t="str">
        <f t="shared" si="2"/>
        <v>YES</v>
      </c>
      <c r="N13" s="297" t="str">
        <f>IF('ACS escalators'!O15="","",'ACS escalators'!O15)</f>
        <v/>
      </c>
      <c r="O13" s="283" t="str">
        <f>IF('ACS escalators'!P15="","",'ACS escalators'!P15)</f>
        <v/>
      </c>
      <c r="P13" s="283" t="str">
        <f>IF('ACS escalators'!Q15="","",'ACS escalators'!Q15)</f>
        <v/>
      </c>
      <c r="Q13" s="340"/>
      <c r="R13" s="293" t="str">
        <f>IF(Q13="","",Q13*(1+Input!$H$20)*(1-'ACS escalators'!R15)+'ACS escalators'!W15)</f>
        <v/>
      </c>
      <c r="S13" s="293" t="str">
        <f>IF(R13="","",R13*(1+Input!$H$21)*(1-'ACS escalators'!S15)+'ACS escalators'!X15)</f>
        <v/>
      </c>
      <c r="T13" s="293" t="str">
        <f>IF(S13="","",S13*(1+Input!$H$22)*(1-'ACS escalators'!T15)+'ACS escalators'!Y15)</f>
        <v/>
      </c>
      <c r="U13" s="294" t="str">
        <f>IF(T13="","",T13*(1+Input!$H$23)*(1-'ACS escalators'!U15)+'ACS escalators'!Z15)</f>
        <v/>
      </c>
      <c r="V13" s="283"/>
      <c r="W13" s="295" t="str">
        <f t="shared" si="0"/>
        <v/>
      </c>
      <c r="X13" s="296" t="str">
        <f t="shared" si="1"/>
        <v/>
      </c>
    </row>
    <row r="14" spans="1:24" x14ac:dyDescent="0.2">
      <c r="A14" s="290">
        <v>9</v>
      </c>
      <c r="B14" s="297" t="str">
        <f>IF('ACS escalators'!B16="","",'ACS escalators'!B16)</f>
        <v/>
      </c>
      <c r="C14" s="283" t="str">
        <f>IF('ACS escalators'!C16="","",'ACS escalators'!C16)</f>
        <v>Multi-phase overhead with a CT connected meter</v>
      </c>
      <c r="D14" s="283" t="str">
        <f>IF('ACS escalators'!D16="","",'ACS escalators'!D16)</f>
        <v>BH</v>
      </c>
      <c r="E14" s="340">
        <v>1081.2728028641836</v>
      </c>
      <c r="F14" s="293">
        <f>IF(E14="","",E14*(1+Input!$H$20)*(1-'ACS escalators'!E16)+'ACS escalators'!J16)</f>
        <v>1110.2003446024862</v>
      </c>
      <c r="G14" s="293">
        <f>IF(F14="","",F14*(1+Input!$H$21)*(1-'ACS escalators'!F16)+'ACS escalators'!K16)</f>
        <v>1139.2952876167481</v>
      </c>
      <c r="H14" s="293">
        <f>IF(G14="","",G14*(1+Input!$H$22)*(1-'ACS escalators'!G16)+'ACS escalators'!L16)</f>
        <v>1170.5895759959201</v>
      </c>
      <c r="I14" s="294">
        <f>IF(H14="","",H14*(1+Input!$H$23)*(1-'ACS escalators'!H16)+'ACS escalators'!M16)</f>
        <v>1205.3484446039067</v>
      </c>
      <c r="J14" s="283"/>
      <c r="K14" s="295">
        <f t="shared" si="3"/>
        <v>1081.27</v>
      </c>
      <c r="L14" s="296" t="str">
        <f t="shared" si="2"/>
        <v>YES</v>
      </c>
      <c r="N14" s="297" t="str">
        <f>IF('ACS escalators'!O16="","",'ACS escalators'!O16)</f>
        <v/>
      </c>
      <c r="O14" s="283" t="str">
        <f>IF('ACS escalators'!P16="","",'ACS escalators'!P16)</f>
        <v/>
      </c>
      <c r="P14" s="283" t="str">
        <f>IF('ACS escalators'!Q16="","",'ACS escalators'!Q16)</f>
        <v/>
      </c>
      <c r="Q14" s="340"/>
      <c r="R14" s="293" t="str">
        <f>IF(Q14="","",Q14*(1+Input!$H$20)*(1-'ACS escalators'!R16)+'ACS escalators'!W16)</f>
        <v/>
      </c>
      <c r="S14" s="293" t="str">
        <f>IF(R14="","",R14*(1+Input!$H$21)*(1-'ACS escalators'!S16)+'ACS escalators'!X16)</f>
        <v/>
      </c>
      <c r="T14" s="293" t="str">
        <f>IF(S14="","",S14*(1+Input!$H$22)*(1-'ACS escalators'!T16)+'ACS escalators'!Y16)</f>
        <v/>
      </c>
      <c r="U14" s="294" t="str">
        <f>IF(T14="","",T14*(1+Input!$H$23)*(1-'ACS escalators'!U16)+'ACS escalators'!Z16)</f>
        <v/>
      </c>
      <c r="V14" s="283"/>
      <c r="W14" s="295" t="str">
        <f t="shared" si="0"/>
        <v/>
      </c>
      <c r="X14" s="296" t="str">
        <f t="shared" si="1"/>
        <v/>
      </c>
    </row>
    <row r="15" spans="1:24" x14ac:dyDescent="0.2">
      <c r="A15" s="290">
        <v>10</v>
      </c>
      <c r="B15" s="297" t="str">
        <f>IF('ACS escalators'!B17="","",'ACS escalators'!B17)</f>
        <v/>
      </c>
      <c r="C15" s="283" t="str">
        <f>IF('ACS escalators'!C17="","",'ACS escalators'!C17)</f>
        <v/>
      </c>
      <c r="D15" s="283" t="str">
        <f>IF('ACS escalators'!D17="","",'ACS escalators'!D17)</f>
        <v>AH</v>
      </c>
      <c r="E15" s="340">
        <v>1822.2242515335522</v>
      </c>
      <c r="F15" s="293">
        <f>IF(E15="","",E15*(1+Input!$H$20)*(1-'ACS escalators'!E17)+'ACS escalators'!J17)</f>
        <v>1870.9746389965069</v>
      </c>
      <c r="G15" s="293">
        <f>IF(F15="","",F15*(1+Input!$H$21)*(1-'ACS escalators'!F17)+'ACS escalators'!K17)</f>
        <v>1920.0071408934718</v>
      </c>
      <c r="H15" s="293">
        <f>IF(G15="","",G15*(1+Input!$H$22)*(1-'ACS escalators'!G17)+'ACS escalators'!L17)</f>
        <v>1972.7461084028348</v>
      </c>
      <c r="I15" s="294">
        <f>IF(H15="","",H15*(1+Input!$H$23)*(1-'ACS escalators'!H17)+'ACS escalators'!M17)</f>
        <v>2031.3237894150311</v>
      </c>
      <c r="J15" s="283"/>
      <c r="K15" s="295">
        <f t="shared" si="3"/>
        <v>1822.22</v>
      </c>
      <c r="L15" s="296" t="str">
        <f t="shared" si="2"/>
        <v>YES</v>
      </c>
      <c r="N15" s="297" t="str">
        <f>IF('ACS escalators'!O17="","",'ACS escalators'!O17)</f>
        <v/>
      </c>
      <c r="O15" s="283" t="str">
        <f>IF('ACS escalators'!P17="","",'ACS escalators'!P17)</f>
        <v/>
      </c>
      <c r="P15" s="283" t="str">
        <f>IF('ACS escalators'!Q17="","",'ACS escalators'!Q17)</f>
        <v/>
      </c>
      <c r="Q15" s="340"/>
      <c r="R15" s="293" t="str">
        <f>IF(Q15="","",Q15*(1+Input!$H$20)*(1-'ACS escalators'!R17)+'ACS escalators'!W17)</f>
        <v/>
      </c>
      <c r="S15" s="293" t="str">
        <f>IF(R15="","",R15*(1+Input!$H$21)*(1-'ACS escalators'!S17)+'ACS escalators'!X17)</f>
        <v/>
      </c>
      <c r="T15" s="293" t="str">
        <f>IF(S15="","",S15*(1+Input!$H$22)*(1-'ACS escalators'!T17)+'ACS escalators'!Y17)</f>
        <v/>
      </c>
      <c r="U15" s="294" t="str">
        <f>IF(T15="","",T15*(1+Input!$H$23)*(1-'ACS escalators'!U17)+'ACS escalators'!Z17)</f>
        <v/>
      </c>
      <c r="V15" s="283"/>
      <c r="W15" s="295" t="str">
        <f t="shared" si="0"/>
        <v/>
      </c>
      <c r="X15" s="296" t="str">
        <f t="shared" si="1"/>
        <v/>
      </c>
    </row>
    <row r="16" spans="1:24" x14ac:dyDescent="0.2">
      <c r="A16" s="290">
        <v>11</v>
      </c>
      <c r="B16" s="297" t="str">
        <f>IF('ACS escalators'!B18="","",'ACS escalators'!B18)</f>
        <v/>
      </c>
      <c r="C16" s="283" t="str">
        <f>IF('ACS escalators'!C18="","",'ACS escalators'!C18)</f>
        <v>Multi-phase underground with a directly connected meter</v>
      </c>
      <c r="D16" s="283" t="str">
        <f>IF('ACS escalators'!D18="","",'ACS escalators'!D18)</f>
        <v>BH</v>
      </c>
      <c r="E16" s="340">
        <v>347.10955973123993</v>
      </c>
      <c r="F16" s="293">
        <f>IF(E16="","",E16*(1+Input!$H$20)*(1-'ACS escalators'!E18)+'ACS escalators'!J18)</f>
        <v>356.39586217988341</v>
      </c>
      <c r="G16" s="293">
        <f>IF(F16="","",F16*(1+Input!$H$21)*(1-'ACS escalators'!F18)+'ACS escalators'!K18)</f>
        <v>365.73590368775666</v>
      </c>
      <c r="H16" s="293">
        <f>IF(G16="","",G16*(1+Input!$H$22)*(1-'ACS escalators'!G18)+'ACS escalators'!L18)</f>
        <v>375.78197775215841</v>
      </c>
      <c r="I16" s="294">
        <f>IF(H16="","",H16*(1+Input!$H$23)*(1-'ACS escalators'!H18)+'ACS escalators'!M18)</f>
        <v>386.9402493255439</v>
      </c>
      <c r="J16" s="283"/>
      <c r="K16" s="295">
        <f t="shared" si="3"/>
        <v>347.11</v>
      </c>
      <c r="L16" s="296" t="str">
        <f t="shared" si="2"/>
        <v>YES</v>
      </c>
      <c r="N16" s="297" t="str">
        <f>IF('ACS escalators'!O18="","",'ACS escalators'!O18)</f>
        <v/>
      </c>
      <c r="O16" s="283" t="str">
        <f>IF('ACS escalators'!P18="","",'ACS escalators'!P18)</f>
        <v/>
      </c>
      <c r="P16" s="283" t="str">
        <f>IF('ACS escalators'!Q18="","",'ACS escalators'!Q18)</f>
        <v/>
      </c>
      <c r="Q16" s="340"/>
      <c r="R16" s="293" t="str">
        <f>IF(Q16="","",Q16*(1+Input!$H$20)*(1-'ACS escalators'!R18)+'ACS escalators'!W18)</f>
        <v/>
      </c>
      <c r="S16" s="293" t="str">
        <f>IF(R16="","",R16*(1+Input!$H$21)*(1-'ACS escalators'!S18)+'ACS escalators'!X18)</f>
        <v/>
      </c>
      <c r="T16" s="293" t="str">
        <f>IF(S16="","",S16*(1+Input!$H$22)*(1-'ACS escalators'!T18)+'ACS escalators'!Y18)</f>
        <v/>
      </c>
      <c r="U16" s="294" t="str">
        <f>IF(T16="","",T16*(1+Input!$H$23)*(1-'ACS escalators'!U18)+'ACS escalators'!Z18)</f>
        <v/>
      </c>
      <c r="V16" s="283"/>
      <c r="W16" s="295" t="str">
        <f t="shared" si="0"/>
        <v/>
      </c>
      <c r="X16" s="296" t="str">
        <f t="shared" si="1"/>
        <v/>
      </c>
    </row>
    <row r="17" spans="1:24" x14ac:dyDescent="0.2">
      <c r="A17" s="290">
        <v>12</v>
      </c>
      <c r="B17" s="297" t="str">
        <f>IF('ACS escalators'!B19="","",'ACS escalators'!B19)</f>
        <v/>
      </c>
      <c r="C17" s="283" t="str">
        <f>IF('ACS escalators'!C19="","",'ACS escalators'!C19)</f>
        <v/>
      </c>
      <c r="D17" s="283" t="str">
        <f>IF('ACS escalators'!D19="","",'ACS escalators'!D19)</f>
        <v>AH</v>
      </c>
      <c r="E17" s="340">
        <v>1307.2940521041135</v>
      </c>
      <c r="F17" s="293">
        <f>IF(E17="","",E17*(1+Input!$H$20)*(1-'ACS escalators'!E19)+'ACS escalators'!J19)</f>
        <v>1342.2683926741374</v>
      </c>
      <c r="G17" s="293">
        <f>IF(F17="","",F17*(1+Input!$H$21)*(1-'ACS escalators'!F19)+'ACS escalators'!K19)</f>
        <v>1377.4451268415928</v>
      </c>
      <c r="H17" s="293">
        <f>IF(G17="","",G17*(1+Input!$H$22)*(1-'ACS escalators'!G19)+'ACS escalators'!L19)</f>
        <v>1415.2809412212332</v>
      </c>
      <c r="I17" s="294">
        <f>IF(H17="","",H17*(1+Input!$H$23)*(1-'ACS escalators'!H19)+'ACS escalators'!M19)</f>
        <v>1457.3055459913924</v>
      </c>
      <c r="J17" s="283"/>
      <c r="K17" s="295">
        <f t="shared" si="3"/>
        <v>1307.29</v>
      </c>
      <c r="L17" s="296" t="str">
        <f t="shared" si="2"/>
        <v>YES</v>
      </c>
      <c r="N17" s="297" t="str">
        <f>IF('ACS escalators'!O19="","",'ACS escalators'!O19)</f>
        <v/>
      </c>
      <c r="O17" s="283" t="str">
        <f>IF('ACS escalators'!P19="","",'ACS escalators'!P19)</f>
        <v/>
      </c>
      <c r="P17" s="283" t="str">
        <f>IF('ACS escalators'!Q19="","",'ACS escalators'!Q19)</f>
        <v/>
      </c>
      <c r="Q17" s="340"/>
      <c r="R17" s="293" t="str">
        <f>IF(Q17="","",Q17*(1+Input!$H$20)*(1-'ACS escalators'!R19)+'ACS escalators'!W19)</f>
        <v/>
      </c>
      <c r="S17" s="293" t="str">
        <f>IF(R17="","",R17*(1+Input!$H$21)*(1-'ACS escalators'!S19)+'ACS escalators'!X19)</f>
        <v/>
      </c>
      <c r="T17" s="293" t="str">
        <f>IF(S17="","",S17*(1+Input!$H$22)*(1-'ACS escalators'!T19)+'ACS escalators'!Y19)</f>
        <v/>
      </c>
      <c r="U17" s="294" t="str">
        <f>IF(T17="","",T17*(1+Input!$H$23)*(1-'ACS escalators'!U19)+'ACS escalators'!Z19)</f>
        <v/>
      </c>
      <c r="V17" s="283"/>
      <c r="W17" s="295" t="str">
        <f t="shared" si="0"/>
        <v/>
      </c>
      <c r="X17" s="296" t="str">
        <f t="shared" si="1"/>
        <v/>
      </c>
    </row>
    <row r="18" spans="1:24" x14ac:dyDescent="0.2">
      <c r="A18" s="290">
        <v>13</v>
      </c>
      <c r="B18" s="297" t="str">
        <f>IF('ACS escalators'!B20="","",'ACS escalators'!B20)</f>
        <v/>
      </c>
      <c r="C18" s="283" t="str">
        <f>IF('ACS escalators'!C20="","",'ACS escalators'!C20)</f>
        <v>Multi-phase underground with a directly connected meter on group metering panel</v>
      </c>
      <c r="D18" s="283" t="str">
        <f>IF('ACS escalators'!D20="","",'ACS escalators'!D20)</f>
        <v/>
      </c>
      <c r="E18" s="340">
        <v>604.57465944595936</v>
      </c>
      <c r="F18" s="293">
        <f>IF(E18="","",E18*(1+Input!$H$20)*(1-'ACS escalators'!E20)+'ACS escalators'!J20)</f>
        <v>620.74898534106808</v>
      </c>
      <c r="G18" s="293">
        <f>IF(F18="","",F18*(1+Input!$H$21)*(1-'ACS escalators'!F20)+'ACS escalators'!K20)</f>
        <v>637.01691071369612</v>
      </c>
      <c r="H18" s="293">
        <f>IF(G18="","",G18*(1+Input!$H$22)*(1-'ACS escalators'!G20)+'ACS escalators'!L20)</f>
        <v>654.51456134295927</v>
      </c>
      <c r="I18" s="294">
        <f>IF(H18="","",H18*(1+Input!$H$23)*(1-'ACS escalators'!H20)+'ACS escalators'!M20)</f>
        <v>673.94937103736345</v>
      </c>
      <c r="J18" s="283"/>
      <c r="K18" s="295">
        <f t="shared" si="3"/>
        <v>604.57000000000005</v>
      </c>
      <c r="L18" s="296" t="str">
        <f t="shared" si="2"/>
        <v>YES</v>
      </c>
      <c r="N18" s="297" t="str">
        <f>IF('ACS escalators'!O20="","",'ACS escalators'!O20)</f>
        <v/>
      </c>
      <c r="O18" s="283" t="str">
        <f>IF('ACS escalators'!P20="","",'ACS escalators'!P20)</f>
        <v/>
      </c>
      <c r="P18" s="283" t="str">
        <f>IF('ACS escalators'!Q20="","",'ACS escalators'!Q20)</f>
        <v/>
      </c>
      <c r="Q18" s="340"/>
      <c r="R18" s="293" t="str">
        <f>IF(Q18="","",Q18*(1+Input!$H$20)*(1-'ACS escalators'!R20)+'ACS escalators'!W20)</f>
        <v/>
      </c>
      <c r="S18" s="293" t="str">
        <f>IF(R18="","",R18*(1+Input!$H$21)*(1-'ACS escalators'!S20)+'ACS escalators'!X20)</f>
        <v/>
      </c>
      <c r="T18" s="293" t="str">
        <f>IF(S18="","",S18*(1+Input!$H$22)*(1-'ACS escalators'!T20)+'ACS escalators'!Y20)</f>
        <v/>
      </c>
      <c r="U18" s="294" t="str">
        <f>IF(T18="","",T18*(1+Input!$H$23)*(1-'ACS escalators'!U20)+'ACS escalators'!Z20)</f>
        <v/>
      </c>
      <c r="V18" s="283"/>
      <c r="W18" s="295" t="str">
        <f t="shared" si="0"/>
        <v/>
      </c>
      <c r="X18" s="296" t="str">
        <f t="shared" si="1"/>
        <v/>
      </c>
    </row>
    <row r="19" spans="1:24" x14ac:dyDescent="0.2">
      <c r="A19" s="290">
        <v>14</v>
      </c>
      <c r="B19" s="297" t="str">
        <f>IF('ACS escalators'!B21="","",'ACS escalators'!B21)</f>
        <v/>
      </c>
      <c r="C19" s="283" t="str">
        <f>IF('ACS escalators'!C21="","",'ACS escalators'!C21)</f>
        <v>Multi-phase underground with a CT connected meter</v>
      </c>
      <c r="D19" s="283" t="str">
        <f>IF('ACS escalators'!D21="","",'ACS escalators'!D21)</f>
        <v>BH</v>
      </c>
      <c r="E19" s="340">
        <v>862.03975916067873</v>
      </c>
      <c r="F19" s="293">
        <f>IF(E19="","",E19*(1+Input!$H$20)*(1-'ACS escalators'!E21)+'ACS escalators'!J21)</f>
        <v>885.10210850225292</v>
      </c>
      <c r="G19" s="293">
        <f>IF(F19="","",F19*(1+Input!$H$21)*(1-'ACS escalators'!F21)+'ACS escalators'!K21)</f>
        <v>908.29791773963586</v>
      </c>
      <c r="H19" s="293">
        <f>IF(G19="","",G19*(1+Input!$H$22)*(1-'ACS escalators'!G21)+'ACS escalators'!L21)</f>
        <v>933.24714493376041</v>
      </c>
      <c r="I19" s="294">
        <f>IF(H19="","",H19*(1+Input!$H$23)*(1-'ACS escalators'!H21)+'ACS escalators'!M21)</f>
        <v>960.95849274918328</v>
      </c>
      <c r="J19" s="283"/>
      <c r="K19" s="295">
        <f t="shared" si="3"/>
        <v>862.04</v>
      </c>
      <c r="L19" s="296" t="str">
        <f t="shared" si="2"/>
        <v>YES</v>
      </c>
      <c r="N19" s="297" t="str">
        <f>IF('ACS escalators'!O21="","",'ACS escalators'!O21)</f>
        <v/>
      </c>
      <c r="O19" s="283" t="str">
        <f>IF('ACS escalators'!P21="","",'ACS escalators'!P21)</f>
        <v/>
      </c>
      <c r="P19" s="283" t="str">
        <f>IF('ACS escalators'!Q21="","",'ACS escalators'!Q21)</f>
        <v/>
      </c>
      <c r="Q19" s="340"/>
      <c r="R19" s="293" t="str">
        <f>IF(Q19="","",Q19*(1+Input!$H$20)*(1-'ACS escalators'!R21)+'ACS escalators'!W21)</f>
        <v/>
      </c>
      <c r="S19" s="293" t="str">
        <f>IF(R19="","",R19*(1+Input!$H$21)*(1-'ACS escalators'!S21)+'ACS escalators'!X21)</f>
        <v/>
      </c>
      <c r="T19" s="293" t="str">
        <f>IF(S19="","",S19*(1+Input!$H$22)*(1-'ACS escalators'!T21)+'ACS escalators'!Y21)</f>
        <v/>
      </c>
      <c r="U19" s="294" t="str">
        <f>IF(T19="","",T19*(1+Input!$H$23)*(1-'ACS escalators'!U21)+'ACS escalators'!Z21)</f>
        <v/>
      </c>
      <c r="V19" s="283"/>
      <c r="W19" s="295" t="str">
        <f t="shared" si="0"/>
        <v/>
      </c>
      <c r="X19" s="296" t="str">
        <f t="shared" si="1"/>
        <v/>
      </c>
    </row>
    <row r="20" spans="1:24" ht="13.5" thickBot="1" x14ac:dyDescent="0.25">
      <c r="A20" s="290">
        <v>15</v>
      </c>
      <c r="B20" s="297" t="str">
        <f>IF('ACS escalators'!B22="","",'ACS escalators'!B22)</f>
        <v/>
      </c>
      <c r="C20" s="283" t="str">
        <f>IF('ACS escalators'!C22="","",'ACS escalators'!C22)</f>
        <v/>
      </c>
      <c r="D20" s="283" t="str">
        <f>IF('ACS escalators'!D22="","",'ACS escalators'!D22)</f>
        <v>AH</v>
      </c>
      <c r="E20" s="340">
        <v>1508.5695785311877</v>
      </c>
      <c r="F20" s="293">
        <f>IF(E20="","",E20*(1+Input!$H$20)*(1-'ACS escalators'!E22)+'ACS escalators'!J22)</f>
        <v>1548.9286898789424</v>
      </c>
      <c r="G20" s="293">
        <f>IF(F20="","",F20*(1+Input!$H$21)*(1-'ACS escalators'!F22)+'ACS escalators'!K22)</f>
        <v>1589.5213560443624</v>
      </c>
      <c r="H20" s="293">
        <f>IF(G20="","",G20*(1+Input!$H$22)*(1-'ACS escalators'!G22)+'ACS escalators'!L22)</f>
        <v>1633.1825036340801</v>
      </c>
      <c r="I20" s="294">
        <f>IF(H20="","",H20*(1+Input!$H$23)*(1-'ACS escalators'!H22)+'ACS escalators'!M22)</f>
        <v>1681.6773623110701</v>
      </c>
      <c r="J20" s="283"/>
      <c r="K20" s="295">
        <f t="shared" si="3"/>
        <v>1508.57</v>
      </c>
      <c r="L20" s="296" t="str">
        <f t="shared" si="2"/>
        <v>YES</v>
      </c>
      <c r="N20" s="298" t="str">
        <f>IF('ACS escalators'!O22="","",'ACS escalators'!O22)</f>
        <v/>
      </c>
      <c r="O20" s="284" t="str">
        <f>IF('ACS escalators'!P22="","",'ACS escalators'!P22)</f>
        <v/>
      </c>
      <c r="P20" s="284" t="str">
        <f>IF('ACS escalators'!Q22="","",'ACS escalators'!Q22)</f>
        <v/>
      </c>
      <c r="Q20" s="341"/>
      <c r="R20" s="299" t="str">
        <f>IF(Q20="","",Q20*(1+Input!$H$20)*(1-'ACS escalators'!R22)+'ACS escalators'!W22)</f>
        <v/>
      </c>
      <c r="S20" s="299" t="str">
        <f>IF(R20="","",R20*(1+Input!$H$21)*(1-'ACS escalators'!S22)+'ACS escalators'!X22)</f>
        <v/>
      </c>
      <c r="T20" s="299" t="str">
        <f>IF(S20="","",S20*(1+Input!$H$22)*(1-'ACS escalators'!T22)+'ACS escalators'!Y22)</f>
        <v/>
      </c>
      <c r="U20" s="300" t="str">
        <f>IF(T20="","",T20*(1+Input!$H$23)*(1-'ACS escalators'!U22)+'ACS escalators'!Z22)</f>
        <v/>
      </c>
      <c r="V20" s="284"/>
      <c r="W20" s="301" t="str">
        <f t="shared" si="0"/>
        <v/>
      </c>
      <c r="X20" s="302" t="str">
        <f t="shared" si="1"/>
        <v/>
      </c>
    </row>
    <row r="21" spans="1:24" x14ac:dyDescent="0.2">
      <c r="A21" s="290">
        <v>16</v>
      </c>
      <c r="B21" s="297" t="str">
        <f>IF('ACS escalators'!B23="","",'ACS escalators'!B23)</f>
        <v/>
      </c>
      <c r="C21" s="283" t="str">
        <f>IF('ACS escalators'!C23="","",'ACS escalators'!C23)</f>
        <v>95mm2 overhead service from LVABC</v>
      </c>
      <c r="D21" s="283" t="str">
        <f>IF('ACS escalators'!D23="","",'ACS escalators'!D23)</f>
        <v>BH</v>
      </c>
      <c r="E21" s="340">
        <v>852.49096113482551</v>
      </c>
      <c r="F21" s="293">
        <f>IF(E21="","",E21*(1+Input!$H$20)*(1-'ACS escalators'!E23)+'ACS escalators'!J23)</f>
        <v>875.29784927113133</v>
      </c>
      <c r="G21" s="293">
        <f>IF(F21="","",F21*(1+Input!$H$21)*(1-'ACS escalators'!F23)+'ACS escalators'!K23)</f>
        <v>898.23671897051702</v>
      </c>
      <c r="H21" s="293">
        <f>IF(G21="","",G21*(1+Input!$H$22)*(1-'ACS escalators'!G23)+'ACS escalators'!L23)</f>
        <v>922.90958404926789</v>
      </c>
      <c r="I21" s="294">
        <f>IF(H21="","",H21*(1+Input!$H$23)*(1-'ACS escalators'!H23)+'ACS escalators'!M23)</f>
        <v>950.31397379169971</v>
      </c>
      <c r="J21" s="283"/>
      <c r="K21" s="295">
        <f t="shared" si="3"/>
        <v>852.49</v>
      </c>
      <c r="L21" s="296" t="str">
        <f t="shared" si="2"/>
        <v>YES</v>
      </c>
    </row>
    <row r="22" spans="1:24" x14ac:dyDescent="0.2">
      <c r="A22" s="290">
        <v>17</v>
      </c>
      <c r="B22" s="297" t="str">
        <f>IF('ACS escalators'!B24="","",'ACS escalators'!B24)</f>
        <v/>
      </c>
      <c r="C22" s="283" t="str">
        <f>IF('ACS escalators'!C24="","",'ACS escalators'!C24)</f>
        <v/>
      </c>
      <c r="D22" s="283" t="str">
        <f>IF('ACS escalators'!D24="","",'ACS escalators'!D24)</f>
        <v>AH</v>
      </c>
      <c r="E22" s="340">
        <v>1491.8591819859446</v>
      </c>
      <c r="F22" s="293">
        <f>IF(E22="","",E22*(1+Input!$H$20)*(1-'ACS escalators'!E24)+'ACS escalators'!J24)</f>
        <v>1531.7712362244797</v>
      </c>
      <c r="G22" s="293">
        <f>IF(F22="","",F22*(1+Input!$H$21)*(1-'ACS escalators'!F24)+'ACS escalators'!K24)</f>
        <v>1571.9142581984047</v>
      </c>
      <c r="H22" s="293">
        <f>IF(G22="","",G22*(1+Input!$H$22)*(1-'ACS escalators'!G24)+'ACS escalators'!L24)</f>
        <v>1615.0917720862187</v>
      </c>
      <c r="I22" s="294">
        <f>IF(H22="","",H22*(1+Input!$H$23)*(1-'ACS escalators'!H24)+'ACS escalators'!M24)</f>
        <v>1663.0494541354744</v>
      </c>
      <c r="J22" s="283"/>
      <c r="K22" s="295">
        <f t="shared" si="3"/>
        <v>1491.86</v>
      </c>
      <c r="L22" s="296" t="str">
        <f t="shared" si="2"/>
        <v>YES</v>
      </c>
    </row>
    <row r="23" spans="1:24" x14ac:dyDescent="0.2">
      <c r="A23" s="290">
        <v>18</v>
      </c>
      <c r="B23" s="297" t="str">
        <f>IF('ACS escalators'!B25="","",'ACS escalators'!B25)</f>
        <v/>
      </c>
      <c r="C23" s="283" t="str">
        <f>IF('ACS escalators'!C25="","",'ACS escalators'!C25)</f>
        <v>Establish temporary supply connection</v>
      </c>
      <c r="D23" s="283" t="str">
        <f>IF('ACS escalators'!D25="","",'ACS escalators'!D25)</f>
        <v>BH</v>
      </c>
      <c r="E23" s="340">
        <v>494.10640912252825</v>
      </c>
      <c r="F23" s="293">
        <f>IF(E23="","",E23*(1+Input!$H$20)*(1-'ACS escalators'!E25)+'ACS escalators'!J25)</f>
        <v>507.32535233019354</v>
      </c>
      <c r="G23" s="293">
        <f>IF(F23="","",F23*(1+Input!$H$21)*(1-'ACS escalators'!F25)+'ACS escalators'!K25)</f>
        <v>520.62079246178746</v>
      </c>
      <c r="H23" s="293">
        <f>IF(G23="","",G23*(1+Input!$H$22)*(1-'ACS escalators'!G25)+'ACS escalators'!L25)</f>
        <v>534.92126170148208</v>
      </c>
      <c r="I23" s="294">
        <f>IF(H23="","",H23*(1+Input!$H$23)*(1-'ACS escalators'!H25)+'ACS escalators'!M25)</f>
        <v>550.80493112104057</v>
      </c>
      <c r="J23" s="283"/>
      <c r="K23" s="295">
        <f t="shared" si="3"/>
        <v>494.11</v>
      </c>
      <c r="L23" s="296" t="str">
        <f t="shared" si="2"/>
        <v>YES</v>
      </c>
    </row>
    <row r="24" spans="1:24" ht="13.5" thickBot="1" x14ac:dyDescent="0.25">
      <c r="A24" s="290">
        <v>19</v>
      </c>
      <c r="B24" s="297" t="str">
        <f>IF('ACS escalators'!B26="","",'ACS escalators'!B26)</f>
        <v/>
      </c>
      <c r="C24" s="283" t="str">
        <f>IF('ACS escalators'!C26="","",'ACS escalators'!C26)</f>
        <v/>
      </c>
      <c r="D24" s="283" t="str">
        <f>IF('ACS escalators'!D26="","",'ACS escalators'!D26)</f>
        <v>AH</v>
      </c>
      <c r="E24" s="340">
        <v>864.68621596442449</v>
      </c>
      <c r="F24" s="293">
        <f>IF(E24="","",E24*(1+Input!$H$20)*(1-'ACS escalators'!E26)+'ACS escalators'!J26)</f>
        <v>887.81936657783876</v>
      </c>
      <c r="G24" s="293">
        <f>IF(F24="","",F24*(1+Input!$H$21)*(1-'ACS escalators'!F26)+'ACS escalators'!K26)</f>
        <v>911.08638680812817</v>
      </c>
      <c r="H24" s="293">
        <f>IF(G24="","",G24*(1+Input!$H$22)*(1-'ACS escalators'!G26)+'ACS escalators'!L26)</f>
        <v>936.1122079775937</v>
      </c>
      <c r="I24" s="294">
        <f>IF(H24="","",H24*(1+Input!$H$23)*(1-'ACS escalators'!H26)+'ACS escalators'!M26)</f>
        <v>963.90862946182096</v>
      </c>
      <c r="J24" s="283"/>
      <c r="K24" s="295">
        <f t="shared" si="3"/>
        <v>864.69</v>
      </c>
      <c r="L24" s="296" t="str">
        <f t="shared" si="2"/>
        <v>YES</v>
      </c>
    </row>
    <row r="25" spans="1:24" x14ac:dyDescent="0.2">
      <c r="A25" s="290">
        <v>20</v>
      </c>
      <c r="B25" s="297" t="str">
        <f>IF('ACS escalators'!B27="","",'ACS escalators'!B27)</f>
        <v/>
      </c>
      <c r="C25" s="283" t="str">
        <f>IF('ACS escalators'!C27="","",'ACS escalators'!C27)</f>
        <v>Appointment - inspection of group or CT metering prior to connection</v>
      </c>
      <c r="D25" s="283" t="str">
        <f>IF('ACS escalators'!D27="","",'ACS escalators'!D27)</f>
        <v/>
      </c>
      <c r="E25" s="340">
        <v>514.93019942943874</v>
      </c>
      <c r="F25" s="293">
        <f>IF(E25="","",E25*(1+Input!$H$20)*(1-'ACS escalators'!E27)+'ACS escalators'!J27)</f>
        <v>528.70624632236945</v>
      </c>
      <c r="G25" s="293">
        <f>IF(F25="","",F25*(1+Input!$H$21)*(1-'ACS escalators'!F27)+'ACS escalators'!K27)</f>
        <v>542.56201405187903</v>
      </c>
      <c r="H25" s="293">
        <f>IF(G25="","",G25*(1+Input!$H$22)*(1-'ACS escalators'!G27)+'ACS escalators'!L27)</f>
        <v>557.46516718160171</v>
      </c>
      <c r="I25" s="294">
        <f>IF(H25="","",H25*(1+Input!$H$23)*(1-'ACS escalators'!H27)+'ACS escalators'!M27)</f>
        <v>574.01824342363898</v>
      </c>
      <c r="J25" s="283"/>
      <c r="K25" s="295">
        <f t="shared" si="3"/>
        <v>514.92999999999995</v>
      </c>
      <c r="L25" s="296" t="str">
        <f t="shared" si="2"/>
        <v>YES</v>
      </c>
      <c r="N25" s="269" t="s">
        <v>153</v>
      </c>
      <c r="O25" s="270"/>
      <c r="P25" s="271"/>
      <c r="Q25" s="272" t="s">
        <v>156</v>
      </c>
      <c r="R25" s="271"/>
      <c r="S25" s="271"/>
      <c r="T25" s="271"/>
      <c r="U25" s="273"/>
      <c r="V25" s="271"/>
      <c r="W25" s="272" t="s">
        <v>157</v>
      </c>
      <c r="X25" s="274"/>
    </row>
    <row r="26" spans="1:24" x14ac:dyDescent="0.2">
      <c r="A26" s="290">
        <v>21</v>
      </c>
      <c r="B26" s="297" t="str">
        <f>IF('ACS escalators'!B28="","",'ACS escalators'!B28)</f>
        <v/>
      </c>
      <c r="C26" s="283" t="str">
        <f>IF('ACS escalators'!C28="","",'ACS escalators'!C28)</f>
        <v>Service truck - Disconnect/Reconnect at pole or pit</v>
      </c>
      <c r="D26" s="283" t="str">
        <f>IF('ACS escalators'!D28="","",'ACS escalators'!D28)</f>
        <v>BH</v>
      </c>
      <c r="E26" s="340">
        <v>567.41107402871273</v>
      </c>
      <c r="F26" s="293">
        <f>IF(E26="","",E26*(1+Input!$H$20)*(1-'ACS escalators'!E28)+'ACS escalators'!J28)</f>
        <v>582.59115391536318</v>
      </c>
      <c r="G26" s="293">
        <f>IF(F26="","",F26*(1+Input!$H$21)*(1-'ACS escalators'!F28)+'ACS escalators'!K28)</f>
        <v>597.85907966064815</v>
      </c>
      <c r="H26" s="293">
        <f>IF(G26="","",G26*(1+Input!$H$22)*(1-'ACS escalators'!G28)+'ACS escalators'!L28)</f>
        <v>614.28113867587035</v>
      </c>
      <c r="I26" s="294">
        <f>IF(H26="","",H26*(1+Input!$H$23)*(1-'ACS escalators'!H28)+'ACS escalators'!M28)</f>
        <v>632.52127836738725</v>
      </c>
      <c r="J26" s="283"/>
      <c r="K26" s="295">
        <f t="shared" si="3"/>
        <v>567.41</v>
      </c>
      <c r="L26" s="296" t="str">
        <f t="shared" si="2"/>
        <v>YES</v>
      </c>
      <c r="N26" s="275" t="s">
        <v>150</v>
      </c>
      <c r="O26" s="276"/>
      <c r="P26" s="276"/>
      <c r="Q26" s="277" t="s">
        <v>38</v>
      </c>
      <c r="R26" s="276" t="s">
        <v>71</v>
      </c>
      <c r="S26" s="276" t="s">
        <v>72</v>
      </c>
      <c r="T26" s="276" t="s">
        <v>73</v>
      </c>
      <c r="U26" s="278" t="s">
        <v>74</v>
      </c>
      <c r="V26" s="276"/>
      <c r="W26" s="277" t="str">
        <f>K5</f>
        <v>2021/22</v>
      </c>
      <c r="X26" s="279" t="s">
        <v>158</v>
      </c>
    </row>
    <row r="27" spans="1:24" x14ac:dyDescent="0.2">
      <c r="A27" s="290">
        <v>22</v>
      </c>
      <c r="B27" s="297" t="str">
        <f>IF('ACS escalators'!B29="","",'ACS escalators'!B29)</f>
        <v/>
      </c>
      <c r="C27" s="283" t="str">
        <f>IF('ACS escalators'!C29="","",'ACS escalators'!C29)</f>
        <v/>
      </c>
      <c r="D27" s="283" t="str">
        <f>IF('ACS escalators'!D29="","",'ACS escalators'!D29)</f>
        <v/>
      </c>
      <c r="E27" s="340"/>
      <c r="F27" s="293" t="str">
        <f>IF(E27="","",E27*(1+Input!$H$20)*(1-'ACS escalators'!E29)+'ACS escalators'!J29)</f>
        <v/>
      </c>
      <c r="G27" s="293" t="str">
        <f>IF(F27="","",F27*(1+Input!$H$21)*(1-'ACS escalators'!F29)+'ACS escalators'!K29)</f>
        <v/>
      </c>
      <c r="H27" s="293" t="str">
        <f>IF(G27="","",G27*(1+Input!$H$22)*(1-'ACS escalators'!G29)+'ACS escalators'!L29)</f>
        <v/>
      </c>
      <c r="I27" s="294" t="str">
        <f>IF(H27="","",H27*(1+Input!$H$23)*(1-'ACS escalators'!H29)+'ACS escalators'!M29)</f>
        <v/>
      </c>
      <c r="J27" s="283"/>
      <c r="K27" s="295" t="str">
        <f t="shared" si="3"/>
        <v/>
      </c>
      <c r="L27" s="296" t="str">
        <f t="shared" si="2"/>
        <v/>
      </c>
      <c r="M27" s="290">
        <v>1</v>
      </c>
      <c r="N27" s="297" t="str">
        <f>IF('ACS escalators'!O29="","",'ACS escalators'!O29)</f>
        <v>Labour - wages</v>
      </c>
      <c r="O27" s="283" t="str">
        <f>IF('ACS escalators'!P29="","",'ACS escalators'!P29)</f>
        <v/>
      </c>
      <c r="P27" s="283" t="str">
        <f>IF('ACS escalators'!Q29="","",'ACS escalators'!Q29)</f>
        <v/>
      </c>
      <c r="Q27" s="340"/>
      <c r="R27" s="293" t="str">
        <f>IF(Q27="","",Q27*(1+Input!$H$20)*(1-'ACS escalators'!R29))</f>
        <v/>
      </c>
      <c r="S27" s="293" t="str">
        <f>IF(R27="","",R27*(1+Input!$H$21)*(1-'ACS escalators'!S29))</f>
        <v/>
      </c>
      <c r="T27" s="293" t="str">
        <f>IF(S27="","",S27*(1+Input!$H$22)*(1-'ACS escalators'!T29))</f>
        <v/>
      </c>
      <c r="U27" s="294" t="str">
        <f>IF(T27="","",T27*(1+Input!$H$23)*(1-'ACS escalators'!U29))</f>
        <v/>
      </c>
      <c r="V27" s="283"/>
      <c r="W27" s="295" t="str">
        <f>IF(INDEX($Q$27:$U$60,MATCH(M27,$M$27:$M$60,0),MATCH($W$26,$Q$26:$U$26,0))="","",ROUND(INDEX($Q$27:$U$60,MATCH(M27,$M$27:$M$60,0),MATCH($W$26,$Q$26:$U$26,0)),2))</f>
        <v/>
      </c>
      <c r="X27" s="296" t="str">
        <f>IF(W27="","",IF(W27&lt;=ROUND(INDEX($Q$27:$U$60,MATCH(M27,$M$27:$M$60,0),MATCH($W$26,$Q$26:$U$26,0)),2),"YES", "NO"))</f>
        <v/>
      </c>
    </row>
    <row r="28" spans="1:24" x14ac:dyDescent="0.2">
      <c r="A28" s="290">
        <v>23</v>
      </c>
      <c r="B28" s="297" t="str">
        <f>IF('ACS escalators'!B30="","",'ACS escalators'!B30)</f>
        <v>Other</v>
      </c>
      <c r="C28" s="283" t="str">
        <f>IF('ACS escalators'!C30="","",'ACS escalators'!C30)</f>
        <v/>
      </c>
      <c r="D28" s="283" t="str">
        <f>IF('ACS escalators'!D30="","",'ACS escalators'!D30)</f>
        <v/>
      </c>
      <c r="E28" s="340"/>
      <c r="F28" s="293" t="str">
        <f>IF(E28="","",E28*(1+Input!$H$20)*(1-'ACS escalators'!E30)+'ACS escalators'!J30)</f>
        <v/>
      </c>
      <c r="G28" s="293" t="str">
        <f>IF(F28="","",F28*(1+Input!$H$21)*(1-'ACS escalators'!F30)+'ACS escalators'!K30)</f>
        <v/>
      </c>
      <c r="H28" s="293" t="str">
        <f>IF(G28="","",G28*(1+Input!$H$22)*(1-'ACS escalators'!G30)+'ACS escalators'!L30)</f>
        <v/>
      </c>
      <c r="I28" s="294" t="str">
        <f>IF(H28="","",H28*(1+Input!$H$23)*(1-'ACS escalators'!H30)+'ACS escalators'!M30)</f>
        <v/>
      </c>
      <c r="J28" s="283"/>
      <c r="K28" s="295" t="str">
        <f t="shared" si="3"/>
        <v/>
      </c>
      <c r="L28" s="296" t="str">
        <f t="shared" si="2"/>
        <v/>
      </c>
      <c r="M28" s="290">
        <v>2</v>
      </c>
      <c r="N28" s="297" t="str">
        <f>IF('ACS escalators'!O30="","",'ACS escalators'!O30)</f>
        <v/>
      </c>
      <c r="O28" s="283" t="str">
        <f>IF('ACS escalators'!P30="","",'ACS escalators'!P30)</f>
        <v>Construction overhead install</v>
      </c>
      <c r="P28" s="283" t="str">
        <f>IF('ACS escalators'!Q30="","",'ACS escalators'!Q30)</f>
        <v>BH</v>
      </c>
      <c r="Q28" s="340">
        <v>121.20973169922623</v>
      </c>
      <c r="R28" s="293">
        <f>IF(Q28="","",Q28*(1+Input!$H$20)*(1-'ACS escalators'!R30))</f>
        <v>124.45248372584706</v>
      </c>
      <c r="S28" s="293">
        <f>IF(R28="","",R28*(1+Input!$H$21)*(1-'ACS escalators'!S30))</f>
        <v>127.71400128850226</v>
      </c>
      <c r="T28" s="293">
        <f>IF(S28="","",S28*(1+Input!$H$22)*(1-'ACS escalators'!T30))</f>
        <v>131.22206353524513</v>
      </c>
      <c r="U28" s="294">
        <f>IF(T28="","",T28*(1+Input!$H$23)*(1-'ACS escalators'!U30))</f>
        <v>135.11850218327419</v>
      </c>
      <c r="V28" s="283"/>
      <c r="W28" s="295">
        <f t="shared" ref="W28:W60" si="4">IF(INDEX($Q$27:$U$60,MATCH(M28,$M$27:$M$60,0),MATCH($W$26,$Q$26:$U$26,0))="","",ROUND(INDEX($Q$27:$U$60,MATCH(M28,$M$27:$M$60,0),MATCH($W$26,$Q$26:$U$26,0)),2))</f>
        <v>121.21</v>
      </c>
      <c r="X28" s="296" t="str">
        <f t="shared" ref="X28:X60" si="5">IF(W28="","",IF(W28&lt;=ROUND(INDEX($Q$27:$U$60,MATCH(M28,$M$27:$M$60,0),MATCH($W$26,$Q$26:$U$26,0)),2),"YES", "NO"))</f>
        <v>YES</v>
      </c>
    </row>
    <row r="29" spans="1:24" x14ac:dyDescent="0.2">
      <c r="A29" s="290">
        <v>24</v>
      </c>
      <c r="B29" s="297" t="str">
        <f>IF('ACS escalators'!B31="","",'ACS escalators'!B31)</f>
        <v/>
      </c>
      <c r="C29" s="283" t="str">
        <f>IF('ACS escalators'!C31="","",'ACS escalators'!C31)</f>
        <v>Meter equipment test</v>
      </c>
      <c r="D29" s="283" t="str">
        <f>IF('ACS escalators'!D31="","",'ACS escalators'!D31)</f>
        <v/>
      </c>
      <c r="E29" s="340">
        <v>311.67281650071106</v>
      </c>
      <c r="F29" s="293">
        <f>IF(E29="","",E29*(1+Input!$H$20)*(1-'ACS escalators'!E31)+'ACS escalators'!J31)</f>
        <v>320.01107154988676</v>
      </c>
      <c r="G29" s="293">
        <f>IF(F29="","",F29*(1+Input!$H$21)*(1-'ACS escalators'!F31)+'ACS escalators'!K31)</f>
        <v>328.39757938691196</v>
      </c>
      <c r="H29" s="293">
        <f>IF(G29="","",G29*(1+Input!$H$22)*(1-'ACS escalators'!G31)+'ACS escalators'!L31)</f>
        <v>337.41804024904201</v>
      </c>
      <c r="I29" s="294">
        <f>IF(H29="","",H29*(1+Input!$H$23)*(1-'ACS escalators'!H31)+'ACS escalators'!M31)</f>
        <v>347.43715332460704</v>
      </c>
      <c r="J29" s="283"/>
      <c r="K29" s="295">
        <f t="shared" si="3"/>
        <v>311.67</v>
      </c>
      <c r="L29" s="296" t="str">
        <f t="shared" si="2"/>
        <v>YES</v>
      </c>
      <c r="M29" s="290">
        <v>3</v>
      </c>
      <c r="N29" s="297" t="str">
        <f>IF('ACS escalators'!O31="","",'ACS escalators'!O31)</f>
        <v/>
      </c>
      <c r="O29" s="283" t="str">
        <f>IF('ACS escalators'!P31="","",'ACS escalators'!P31)</f>
        <v/>
      </c>
      <c r="P29" s="283" t="str">
        <f>IF('ACS escalators'!Q31="","",'ACS escalators'!Q31)</f>
        <v>AH</v>
      </c>
      <c r="Q29" s="340">
        <v>147.211819357476</v>
      </c>
      <c r="R29" s="293">
        <f>IF(Q29="","",Q29*(1+Input!$H$20)*(1-'ACS escalators'!R31))</f>
        <v>151.15021125779438</v>
      </c>
      <c r="S29" s="293">
        <f>IF(R29="","",R29*(1+Input!$H$21)*(1-'ACS escalators'!S31))</f>
        <v>155.11139430418751</v>
      </c>
      <c r="T29" s="293">
        <f>IF(S29="","",S29*(1+Input!$H$22)*(1-'ACS escalators'!T31))</f>
        <v>159.37201115831743</v>
      </c>
      <c r="U29" s="294">
        <f>IF(T29="","",T29*(1+Input!$H$23)*(1-'ACS escalators'!U31))</f>
        <v>164.10431948331643</v>
      </c>
      <c r="V29" s="283"/>
      <c r="W29" s="295">
        <f t="shared" si="4"/>
        <v>147.21</v>
      </c>
      <c r="X29" s="296" t="str">
        <f t="shared" si="5"/>
        <v>YES</v>
      </c>
    </row>
    <row r="30" spans="1:24" x14ac:dyDescent="0.2">
      <c r="A30" s="290">
        <v>25</v>
      </c>
      <c r="B30" s="297" t="str">
        <f>IF('ACS escalators'!B32="","",'ACS escalators'!B32)</f>
        <v/>
      </c>
      <c r="C30" s="283" t="str">
        <f>IF('ACS escalators'!C32="","",'ACS escalators'!C32)</f>
        <v>Meter equipment test - Each additional meter at same site</v>
      </c>
      <c r="D30" s="283" t="str">
        <f>IF('ACS escalators'!D32="","",'ACS escalators'!D32)</f>
        <v/>
      </c>
      <c r="E30" s="340">
        <v>71.858071360834487</v>
      </c>
      <c r="F30" s="293">
        <f>IF(E30="","",E30*(1+Input!$H$20)*(1-'ACS escalators'!E32)+'ACS escalators'!J32)</f>
        <v>73.780506987642312</v>
      </c>
      <c r="G30" s="293">
        <f>IF(F30="","",F30*(1+Input!$H$21)*(1-'ACS escalators'!F32)+'ACS escalators'!K32)</f>
        <v>75.714067589388847</v>
      </c>
      <c r="H30" s="293">
        <f>IF(G30="","",G30*(1+Input!$H$22)*(1-'ACS escalators'!G32)+'ACS escalators'!L32)</f>
        <v>77.793789932890306</v>
      </c>
      <c r="I30" s="294">
        <f>IF(H30="","",H30*(1+Input!$H$23)*(1-'ACS escalators'!H32)+'ACS escalators'!M32)</f>
        <v>80.103757643387056</v>
      </c>
      <c r="J30" s="283"/>
      <c r="K30" s="295">
        <f t="shared" si="3"/>
        <v>71.86</v>
      </c>
      <c r="L30" s="296" t="str">
        <f t="shared" si="2"/>
        <v>YES</v>
      </c>
      <c r="M30" s="290">
        <v>4</v>
      </c>
      <c r="N30" s="297" t="str">
        <f>IF('ACS escalators'!O32="","",'ACS escalators'!O32)</f>
        <v/>
      </c>
      <c r="O30" s="283" t="str">
        <f>IF('ACS escalators'!P32="","",'ACS escalators'!P32)</f>
        <v>Construction underground install</v>
      </c>
      <c r="P30" s="283" t="str">
        <f>IF('ACS escalators'!Q32="","",'ACS escalators'!Q32)</f>
        <v>BH</v>
      </c>
      <c r="Q30" s="340">
        <v>118.38526250371463</v>
      </c>
      <c r="R30" s="293">
        <f>IF(Q30="","",Q30*(1+Input!$H$20)*(1-'ACS escalators'!R32))</f>
        <v>121.55245085174732</v>
      </c>
      <c r="S30" s="293">
        <f>IF(R30="","",R30*(1+Input!$H$21)*(1-'ACS escalators'!S32))</f>
        <v>124.73796745509674</v>
      </c>
      <c r="T30" s="293">
        <f>IF(S30="","",S30*(1+Input!$H$22)*(1-'ACS escalators'!T32))</f>
        <v>128.16428367688798</v>
      </c>
      <c r="U30" s="294">
        <f>IF(T30="","",T30*(1+Input!$H$23)*(1-'ACS escalators'!U32))</f>
        <v>131.96992622480795</v>
      </c>
      <c r="V30" s="283"/>
      <c r="W30" s="295">
        <f t="shared" si="4"/>
        <v>118.39</v>
      </c>
      <c r="X30" s="296" t="str">
        <f t="shared" si="5"/>
        <v>YES</v>
      </c>
    </row>
    <row r="31" spans="1:24" x14ac:dyDescent="0.2">
      <c r="A31" s="290">
        <v>26</v>
      </c>
      <c r="B31" s="297" t="str">
        <f>IF('ACS escalators'!B33="","",'ACS escalators'!B33)</f>
        <v/>
      </c>
      <c r="C31" s="283" t="str">
        <f>IF('ACS escalators'!C33="","",'ACS escalators'!C33)</f>
        <v>Wasted Truck Visit – customer not ready for their requested works</v>
      </c>
      <c r="D31" s="283" t="str">
        <f>IF('ACS escalators'!D33="","",'ACS escalators'!D33)</f>
        <v/>
      </c>
      <c r="E31" s="340">
        <v>211.04152598150873</v>
      </c>
      <c r="F31" s="293">
        <f>IF(E31="","",E31*(1+Input!$H$20)*(1-'ACS escalators'!E33)+'ACS escalators'!J33)</f>
        <v>216.68756880730982</v>
      </c>
      <c r="G31" s="293">
        <f>IF(F31="","",F31*(1+Input!$H$21)*(1-'ACS escalators'!F33)+'ACS escalators'!K33)</f>
        <v>222.36628481293761</v>
      </c>
      <c r="H31" s="293">
        <f>IF(G31="","",G31*(1+Input!$H$22)*(1-'ACS escalators'!G33)+'ACS escalators'!L33)</f>
        <v>228.47426640329249</v>
      </c>
      <c r="I31" s="294">
        <f>IF(H31="","",H31*(1+Input!$H$23)*(1-'ACS escalators'!H33)+'ACS escalators'!M33)</f>
        <v>235.25846059830886</v>
      </c>
      <c r="J31" s="283"/>
      <c r="K31" s="295">
        <f t="shared" si="3"/>
        <v>211.04</v>
      </c>
      <c r="L31" s="296" t="str">
        <f t="shared" si="2"/>
        <v>YES</v>
      </c>
      <c r="M31" s="290">
        <v>5</v>
      </c>
      <c r="N31" s="297" t="str">
        <f>IF('ACS escalators'!O33="","",'ACS escalators'!O33)</f>
        <v/>
      </c>
      <c r="O31" s="283" t="str">
        <f>IF('ACS escalators'!P33="","",'ACS escalators'!P33)</f>
        <v/>
      </c>
      <c r="P31" s="283" t="str">
        <f>IF('ACS escalators'!Q33="","",'ACS escalators'!Q33)</f>
        <v>AH</v>
      </c>
      <c r="Q31" s="340">
        <v>143.78124089254135</v>
      </c>
      <c r="R31" s="293">
        <f>IF(Q31="","",Q31*(1+Input!$H$20)*(1-'ACS escalators'!R33))</f>
        <v>147.6278537326003</v>
      </c>
      <c r="S31" s="293">
        <f>IF(R31="","",R31*(1+Input!$H$21)*(1-'ACS escalators'!S33))</f>
        <v>151.49672660095246</v>
      </c>
      <c r="T31" s="293">
        <f>IF(S31="","",S31*(1+Input!$H$22)*(1-'ACS escalators'!T33))</f>
        <v>155.65805536469051</v>
      </c>
      <c r="U31" s="294">
        <f>IF(T31="","",T31*(1+Input!$H$23)*(1-'ACS escalators'!U33))</f>
        <v>160.28008344792613</v>
      </c>
      <c r="V31" s="283"/>
      <c r="W31" s="295">
        <f t="shared" si="4"/>
        <v>143.78</v>
      </c>
      <c r="X31" s="296" t="str">
        <f t="shared" si="5"/>
        <v>YES</v>
      </c>
    </row>
    <row r="32" spans="1:24" x14ac:dyDescent="0.2">
      <c r="A32" s="290">
        <v>27</v>
      </c>
      <c r="B32" s="297" t="str">
        <f>IF('ACS escalators'!B34="","",'ACS escalators'!B34)</f>
        <v/>
      </c>
      <c r="C32" s="283" t="str">
        <f>IF('ACS escalators'!C34="","",'ACS escalators'!C34)</f>
        <v>Manual assessment of PV &amp; small generator installation enquiry, 4.6kW to 15kW</v>
      </c>
      <c r="D32" s="283" t="str">
        <f>IF('ACS escalators'!D34="","",'ACS escalators'!D34)</f>
        <v/>
      </c>
      <c r="E32" s="340">
        <v>325.79022211261423</v>
      </c>
      <c r="F32" s="293">
        <f>IF(E32="","",E32*(1+Input!$H$20)*(1-'ACS escalators'!E34)+'ACS escalators'!J34)</f>
        <v>334.5061633839839</v>
      </c>
      <c r="G32" s="293">
        <f>IF(F32="","",F32*(1+Input!$H$21)*(1-'ACS escalators'!F34)+'ACS escalators'!K34)</f>
        <v>343.27254308193034</v>
      </c>
      <c r="H32" s="293">
        <f>IF(G32="","",G32*(1+Input!$H$22)*(1-'ACS escalators'!G34)+'ACS escalators'!L34)</f>
        <v>352.70159108434024</v>
      </c>
      <c r="I32" s="294">
        <f>IF(H32="","",H32*(1+Input!$H$23)*(1-'ACS escalators'!H34)+'ACS escalators'!M34)</f>
        <v>363.17452584620861</v>
      </c>
      <c r="J32" s="283"/>
      <c r="K32" s="295">
        <f t="shared" si="3"/>
        <v>325.79000000000002</v>
      </c>
      <c r="L32" s="296" t="str">
        <f t="shared" si="2"/>
        <v>YES</v>
      </c>
      <c r="M32" s="290">
        <v>6</v>
      </c>
      <c r="N32" s="297" t="str">
        <f>IF('ACS escalators'!O34="","",'ACS escalators'!O34)</f>
        <v/>
      </c>
      <c r="O32" s="283" t="str">
        <f>IF('ACS escalators'!P34="","",'ACS escalators'!P34)</f>
        <v>Construction substation install</v>
      </c>
      <c r="P32" s="283" t="str">
        <f>IF('ACS escalators'!Q34="","",'ACS escalators'!Q34)</f>
        <v>BH</v>
      </c>
      <c r="Q32" s="340">
        <v>118.38526250371463</v>
      </c>
      <c r="R32" s="293">
        <f>IF(Q32="","",Q32*(1+Input!$H$20)*(1-'ACS escalators'!R34))</f>
        <v>121.55245085174732</v>
      </c>
      <c r="S32" s="293">
        <f>IF(R32="","",R32*(1+Input!$H$21)*(1-'ACS escalators'!S34))</f>
        <v>124.73796745509674</v>
      </c>
      <c r="T32" s="293">
        <f>IF(S32="","",S32*(1+Input!$H$22)*(1-'ACS escalators'!T34))</f>
        <v>128.16428367688798</v>
      </c>
      <c r="U32" s="294">
        <f>IF(T32="","",T32*(1+Input!$H$23)*(1-'ACS escalators'!U34))</f>
        <v>131.96992622480795</v>
      </c>
      <c r="V32" s="283"/>
      <c r="W32" s="295">
        <f t="shared" si="4"/>
        <v>118.39</v>
      </c>
      <c r="X32" s="296" t="str">
        <f t="shared" si="5"/>
        <v>YES</v>
      </c>
    </row>
    <row r="33" spans="1:24" x14ac:dyDescent="0.2">
      <c r="A33" s="290">
        <v>28</v>
      </c>
      <c r="B33" s="297" t="str">
        <f>IF('ACS escalators'!B35="","",'ACS escalators'!B35)</f>
        <v/>
      </c>
      <c r="C33" s="283" t="str">
        <f>IF('ACS escalators'!C35="","",'ACS escalators'!C35)</f>
        <v>Manual assessment of PV &amp; small generator installation enquiry, 15kW to 30kW</v>
      </c>
      <c r="D33" s="283" t="str">
        <f>IF('ACS escalators'!D35="","",'ACS escalators'!D35)</f>
        <v/>
      </c>
      <c r="E33" s="340">
        <v>325.79022211261423</v>
      </c>
      <c r="F33" s="293">
        <f>IF(E33="","",E33*(1+Input!$H$20)*(1-'ACS escalators'!E35)+'ACS escalators'!J35)</f>
        <v>334.5061633839839</v>
      </c>
      <c r="G33" s="293">
        <f>IF(F33="","",F33*(1+Input!$H$21)*(1-'ACS escalators'!F35)+'ACS escalators'!K35)</f>
        <v>343.27254308193034</v>
      </c>
      <c r="H33" s="293">
        <f>IF(G33="","",G33*(1+Input!$H$22)*(1-'ACS escalators'!G35)+'ACS escalators'!L35)</f>
        <v>352.70159108434024</v>
      </c>
      <c r="I33" s="294">
        <f>IF(H33="","",H33*(1+Input!$H$23)*(1-'ACS escalators'!H35)+'ACS escalators'!M35)</f>
        <v>363.17452584620861</v>
      </c>
      <c r="J33" s="283"/>
      <c r="K33" s="295">
        <f t="shared" si="3"/>
        <v>325.79000000000002</v>
      </c>
      <c r="L33" s="296" t="str">
        <f t="shared" si="2"/>
        <v>YES</v>
      </c>
      <c r="M33" s="290">
        <v>7</v>
      </c>
      <c r="N33" s="297" t="str">
        <f>IF('ACS escalators'!O35="","",'ACS escalators'!O35)</f>
        <v/>
      </c>
      <c r="O33" s="283" t="str">
        <f>IF('ACS escalators'!P35="","",'ACS escalators'!P35)</f>
        <v/>
      </c>
      <c r="P33" s="283" t="str">
        <f>IF('ACS escalators'!Q35="","",'ACS escalators'!Q35)</f>
        <v>AH</v>
      </c>
      <c r="Q33" s="340">
        <v>143.78124089254135</v>
      </c>
      <c r="R33" s="293">
        <f>IF(Q33="","",Q33*(1+Input!$H$20)*(1-'ACS escalators'!R35))</f>
        <v>147.6278537326003</v>
      </c>
      <c r="S33" s="293">
        <f>IF(R33="","",R33*(1+Input!$H$21)*(1-'ACS escalators'!S35))</f>
        <v>151.49672660095246</v>
      </c>
      <c r="T33" s="293">
        <f>IF(S33="","",S33*(1+Input!$H$22)*(1-'ACS escalators'!T35))</f>
        <v>155.65805536469051</v>
      </c>
      <c r="U33" s="294">
        <f>IF(T33="","",T33*(1+Input!$H$23)*(1-'ACS escalators'!U35))</f>
        <v>160.28008344792613</v>
      </c>
      <c r="V33" s="283"/>
      <c r="W33" s="295">
        <f t="shared" si="4"/>
        <v>143.78</v>
      </c>
      <c r="X33" s="296" t="str">
        <f t="shared" si="5"/>
        <v>YES</v>
      </c>
    </row>
    <row r="34" spans="1:24" x14ac:dyDescent="0.2">
      <c r="A34" s="290">
        <v>29</v>
      </c>
      <c r="B34" s="297" t="str">
        <f>IF('ACS escalators'!B36="","",'ACS escalators'!B36)</f>
        <v/>
      </c>
      <c r="C34" s="283" t="str">
        <f>IF('ACS escalators'!C36="","",'ACS escalators'!C36)</f>
        <v>Security and watchmen lights</v>
      </c>
      <c r="D34" s="283" t="str">
        <f>IF('ACS escalators'!D36="","",'ACS escalators'!D36)</f>
        <v/>
      </c>
      <c r="E34" s="340">
        <v>60.881808491225797</v>
      </c>
      <c r="F34" s="293">
        <f>IF(E34="","",E34*(1+Input!$H$20)*(1-'ACS escalators'!E36)+'ACS escalators'!J36)</f>
        <v>62.510593615172439</v>
      </c>
      <c r="G34" s="293">
        <f>IF(F34="","",F34*(1+Input!$H$21)*(1-'ACS escalators'!F36)+'ACS escalators'!K36)</f>
        <v>64.148804383042744</v>
      </c>
      <c r="H34" s="293">
        <f>IF(G34="","",G34*(1+Input!$H$22)*(1-'ACS escalators'!G36)+'ACS escalators'!L36)</f>
        <v>65.910850803634403</v>
      </c>
      <c r="I34" s="294">
        <f>IF(H34="","",H34*(1+Input!$H$23)*(1-'ACS escalators'!H36)+'ACS escalators'!M36)</f>
        <v>67.867972795751072</v>
      </c>
      <c r="J34" s="283"/>
      <c r="K34" s="295">
        <f t="shared" si="3"/>
        <v>60.88</v>
      </c>
      <c r="L34" s="296" t="str">
        <f t="shared" si="2"/>
        <v>YES</v>
      </c>
      <c r="M34" s="290">
        <v>8</v>
      </c>
      <c r="N34" s="297" t="str">
        <f>IF('ACS escalators'!O36="","",'ACS escalators'!O36)</f>
        <v/>
      </c>
      <c r="O34" s="283" t="str">
        <f>IF('ACS escalators'!P36="","",'ACS escalators'!P36)</f>
        <v>Electrical tester including vehicle and equipment</v>
      </c>
      <c r="P34" s="283" t="str">
        <f>IF('ACS escalators'!Q36="","",'ACS escalators'!Q36)</f>
        <v>BH</v>
      </c>
      <c r="Q34" s="340">
        <v>174.54876579964201</v>
      </c>
      <c r="R34" s="293">
        <f>IF(Q34="","",Q34*(1+Input!$H$20)*(1-'ACS escalators'!R36))</f>
        <v>179.21850935988263</v>
      </c>
      <c r="S34" s="293">
        <f>IF(R34="","",R34*(1+Input!$H$21)*(1-'ACS escalators'!S36))</f>
        <v>183.91527633737243</v>
      </c>
      <c r="T34" s="293">
        <f>IF(S34="","",S34*(1+Input!$H$22)*(1-'ACS escalators'!T36))</f>
        <v>188.96708139405496</v>
      </c>
      <c r="U34" s="294">
        <f>IF(T34="","",T34*(1+Input!$H$23)*(1-'ACS escalators'!U36))</f>
        <v>194.57817010362467</v>
      </c>
      <c r="V34" s="283"/>
      <c r="W34" s="295">
        <f t="shared" si="4"/>
        <v>174.55</v>
      </c>
      <c r="X34" s="296" t="str">
        <f t="shared" si="5"/>
        <v>YES</v>
      </c>
    </row>
    <row r="35" spans="1:24" x14ac:dyDescent="0.2">
      <c r="A35" s="290">
        <v>30</v>
      </c>
      <c r="B35" s="297" t="str">
        <f>IF('ACS escalators'!B37="","",'ACS escalators'!B37)</f>
        <v/>
      </c>
      <c r="C35" s="283" t="str">
        <f>IF('ACS escalators'!C37="","",'ACS escalators'!C37)</f>
        <v/>
      </c>
      <c r="D35" s="283" t="str">
        <f>IF('ACS escalators'!D37="","",'ACS escalators'!D37)</f>
        <v/>
      </c>
      <c r="E35" s="340"/>
      <c r="F35" s="293" t="str">
        <f>IF(E35="","",E35*(1+Input!$H$20)*(1-'ACS escalators'!E37)+'ACS escalators'!J37)</f>
        <v/>
      </c>
      <c r="G35" s="293" t="str">
        <f>IF(F35="","",F35*(1+Input!$H$21)*(1-'ACS escalators'!F37)+'ACS escalators'!K37)</f>
        <v/>
      </c>
      <c r="H35" s="293" t="str">
        <f>IF(G35="","",G35*(1+Input!$H$22)*(1-'ACS escalators'!G37)+'ACS escalators'!L37)</f>
        <v/>
      </c>
      <c r="I35" s="294" t="str">
        <f>IF(H35="","",H35*(1+Input!$H$23)*(1-'ACS escalators'!H37)+'ACS escalators'!M37)</f>
        <v/>
      </c>
      <c r="J35" s="283"/>
      <c r="K35" s="295" t="str">
        <f t="shared" si="3"/>
        <v/>
      </c>
      <c r="L35" s="296" t="str">
        <f t="shared" si="2"/>
        <v/>
      </c>
      <c r="M35" s="290">
        <v>9</v>
      </c>
      <c r="N35" s="297" t="str">
        <f>IF('ACS escalators'!O37="","",'ACS escalators'!O37)</f>
        <v/>
      </c>
      <c r="O35" s="283" t="str">
        <f>IF('ACS escalators'!P37="","",'ACS escalators'!P37)</f>
        <v/>
      </c>
      <c r="P35" s="283" t="str">
        <f>IF('ACS escalators'!Q37="","",'ACS escalators'!Q37)</f>
        <v>AH</v>
      </c>
      <c r="Q35" s="340">
        <v>238.62521937186381</v>
      </c>
      <c r="R35" s="293">
        <f>IF(Q35="","",Q35*(1+Input!$H$20)*(1-'ACS escalators'!R37))</f>
        <v>245.00921513584331</v>
      </c>
      <c r="S35" s="293">
        <f>IF(R35="","",R35*(1+Input!$H$21)*(1-'ACS escalators'!S37))</f>
        <v>251.43015455187168</v>
      </c>
      <c r="T35" s="293">
        <f>IF(S35="","",S35*(1+Input!$H$22)*(1-'ACS escalators'!T37))</f>
        <v>258.33646571570137</v>
      </c>
      <c r="U35" s="294">
        <f>IF(T35="","",T35*(1+Input!$H$23)*(1-'ACS escalators'!U37))</f>
        <v>266.00737228500356</v>
      </c>
      <c r="V35" s="283"/>
      <c r="W35" s="295">
        <f t="shared" si="4"/>
        <v>238.63</v>
      </c>
      <c r="X35" s="296" t="str">
        <f t="shared" si="5"/>
        <v>YES</v>
      </c>
    </row>
    <row r="36" spans="1:24" x14ac:dyDescent="0.2">
      <c r="A36" s="290">
        <v>31</v>
      </c>
      <c r="B36" s="297" t="str">
        <f>IF('ACS escalators'!B38="","",'ACS escalators'!B38)</f>
        <v>Auxiliary metering services</v>
      </c>
      <c r="C36" s="283" t="str">
        <f>IF('ACS escalators'!C38="","",'ACS escalators'!C38)</f>
        <v/>
      </c>
      <c r="D36" s="283" t="str">
        <f>IF('ACS escalators'!D38="","",'ACS escalators'!D38)</f>
        <v/>
      </c>
      <c r="E36" s="340"/>
      <c r="F36" s="293" t="str">
        <f>IF(E36="","",E36*(1+Input!$H$20)*(1-'ACS escalators'!E38)+'ACS escalators'!J38)</f>
        <v/>
      </c>
      <c r="G36" s="293" t="str">
        <f>IF(F36="","",F36*(1+Input!$H$21)*(1-'ACS escalators'!F38)+'ACS escalators'!K38)</f>
        <v/>
      </c>
      <c r="H36" s="293" t="str">
        <f>IF(G36="","",G36*(1+Input!$H$22)*(1-'ACS escalators'!G38)+'ACS escalators'!L38)</f>
        <v/>
      </c>
      <c r="I36" s="294" t="str">
        <f>IF(H36="","",H36*(1+Input!$H$23)*(1-'ACS escalators'!H38)+'ACS escalators'!M38)</f>
        <v/>
      </c>
      <c r="J36" s="283"/>
      <c r="K36" s="295" t="str">
        <f t="shared" si="3"/>
        <v/>
      </c>
      <c r="L36" s="296" t="str">
        <f t="shared" si="2"/>
        <v/>
      </c>
      <c r="M36" s="290">
        <v>10</v>
      </c>
      <c r="N36" s="297" t="str">
        <f>IF('ACS escalators'!O38="","",'ACS escalators'!O38)</f>
        <v/>
      </c>
      <c r="O36" s="283" t="str">
        <f>IF('ACS escalators'!P38="","",'ACS escalators'!P38)</f>
        <v>Planner including vehicle</v>
      </c>
      <c r="P36" s="283" t="str">
        <f>IF('ACS escalators'!Q38="","",'ACS escalators'!Q38)</f>
        <v/>
      </c>
      <c r="Q36" s="340">
        <v>162.71609446931814</v>
      </c>
      <c r="R36" s="293">
        <f>IF(Q36="","",Q36*(1+Input!$H$20)*(1-'ACS escalators'!R38))</f>
        <v>167.06927583278761</v>
      </c>
      <c r="S36" s="293">
        <f>IF(R36="","",R36*(1+Input!$H$21)*(1-'ACS escalators'!S38))</f>
        <v>171.44764869442585</v>
      </c>
      <c r="T36" s="293">
        <f>IF(S36="","",S36*(1+Input!$H$22)*(1-'ACS escalators'!T38))</f>
        <v>176.15699158251761</v>
      </c>
      <c r="U36" s="294">
        <f>IF(T36="","",T36*(1+Input!$H$23)*(1-'ACS escalators'!U38))</f>
        <v>181.38770425103388</v>
      </c>
      <c r="V36" s="283"/>
      <c r="W36" s="295">
        <f t="shared" si="4"/>
        <v>162.72</v>
      </c>
      <c r="X36" s="296" t="str">
        <f t="shared" si="5"/>
        <v>YES</v>
      </c>
    </row>
    <row r="37" spans="1:24" x14ac:dyDescent="0.2">
      <c r="A37" s="290">
        <v>32</v>
      </c>
      <c r="B37" s="297" t="str">
        <f>IF('ACS escalators'!B39="","",'ACS escalators'!B39)</f>
        <v/>
      </c>
      <c r="C37" s="283" t="str">
        <f>IF('ACS escalators'!C39="","",'ACS escalators'!C39)</f>
        <v>Remote special read</v>
      </c>
      <c r="D37" s="283" t="str">
        <f>IF('ACS escalators'!D39="","",'ACS escalators'!D39)</f>
        <v/>
      </c>
      <c r="E37" s="340">
        <v>0</v>
      </c>
      <c r="F37" s="293">
        <f>IF(E37="","",E37*(1+Input!$H$20)*(1-'ACS escalators'!E39)+'ACS escalators'!J39)</f>
        <v>0</v>
      </c>
      <c r="G37" s="293">
        <f>IF(F37="","",F37*(1+Input!$H$21)*(1-'ACS escalators'!F39)+'ACS escalators'!K39)</f>
        <v>0</v>
      </c>
      <c r="H37" s="293">
        <f>IF(G37="","",G37*(1+Input!$H$22)*(1-'ACS escalators'!G39)+'ACS escalators'!L39)</f>
        <v>0</v>
      </c>
      <c r="I37" s="294">
        <f>IF(H37="","",H37*(1+Input!$H$23)*(1-'ACS escalators'!H39)+'ACS escalators'!M39)</f>
        <v>0</v>
      </c>
      <c r="J37" s="283"/>
      <c r="K37" s="295">
        <f t="shared" si="3"/>
        <v>0</v>
      </c>
      <c r="L37" s="296" t="str">
        <f t="shared" si="2"/>
        <v>YES</v>
      </c>
      <c r="M37" s="290">
        <v>11</v>
      </c>
      <c r="N37" s="297" t="str">
        <f>IF('ACS escalators'!O39="","",'ACS escalators'!O39)</f>
        <v/>
      </c>
      <c r="O37" s="283" t="str">
        <f>IF('ACS escalators'!P39="","",'ACS escalators'!P39)</f>
        <v>Supervisor including vehicle</v>
      </c>
      <c r="P37" s="283" t="str">
        <f>IF('ACS escalators'!Q39="","",'ACS escalators'!Q39)</f>
        <v/>
      </c>
      <c r="Q37" s="340">
        <v>162.71609446931814</v>
      </c>
      <c r="R37" s="293">
        <f>IF(Q37="","",Q37*(1+Input!$H$20)*(1-'ACS escalators'!R39))</f>
        <v>167.06927583278761</v>
      </c>
      <c r="S37" s="293">
        <f>IF(R37="","",R37*(1+Input!$H$21)*(1-'ACS escalators'!S39))</f>
        <v>171.44764869442585</v>
      </c>
      <c r="T37" s="293">
        <f>IF(S37="","",S37*(1+Input!$H$22)*(1-'ACS escalators'!T39))</f>
        <v>176.15699158251761</v>
      </c>
      <c r="U37" s="294">
        <f>IF(T37="","",T37*(1+Input!$H$23)*(1-'ACS escalators'!U39))</f>
        <v>181.38770425103388</v>
      </c>
      <c r="V37" s="283"/>
      <c r="W37" s="295">
        <f t="shared" si="4"/>
        <v>162.72</v>
      </c>
      <c r="X37" s="296" t="str">
        <f t="shared" si="5"/>
        <v>YES</v>
      </c>
    </row>
    <row r="38" spans="1:24" x14ac:dyDescent="0.2">
      <c r="A38" s="290">
        <v>33</v>
      </c>
      <c r="B38" s="297" t="str">
        <f>IF('ACS escalators'!B40="","",'ACS escalators'!B40)</f>
        <v/>
      </c>
      <c r="C38" s="283" t="str">
        <f>IF('ACS escalators'!C40="","",'ACS escalators'!C40)</f>
        <v>Remote meter reconfig</v>
      </c>
      <c r="D38" s="283" t="str">
        <f>IF('ACS escalators'!D40="","",'ACS escalators'!D40)</f>
        <v/>
      </c>
      <c r="E38" s="340">
        <v>15.114808888888888</v>
      </c>
      <c r="F38" s="293">
        <f>IF(E38="","",E38*(1+Input!$H$20)*(1-'ACS escalators'!E40)+'ACS escalators'!J40)</f>
        <v>15.519178871969576</v>
      </c>
      <c r="G38" s="293">
        <f>IF(F38="","",F38*(1+Input!$H$21)*(1-'ACS escalators'!F40)+'ACS escalators'!K40)</f>
        <v>15.925888910480476</v>
      </c>
      <c r="H38" s="293">
        <f>IF(G38="","",G38*(1+Input!$H$22)*(1-'ACS escalators'!G40)+'ACS escalators'!L40)</f>
        <v>16.363342980269355</v>
      </c>
      <c r="I38" s="294">
        <f>IF(H38="","",H38*(1+Input!$H$23)*(1-'ACS escalators'!H40)+'ACS escalators'!M40)</f>
        <v>16.849227444219672</v>
      </c>
      <c r="J38" s="283"/>
      <c r="K38" s="295">
        <f t="shared" si="3"/>
        <v>15.11</v>
      </c>
      <c r="L38" s="296" t="str">
        <f t="shared" si="2"/>
        <v>YES</v>
      </c>
      <c r="M38" s="290">
        <v>12</v>
      </c>
      <c r="N38" s="297" t="str">
        <f>IF('ACS escalators'!O40="","",'ACS escalators'!O40)</f>
        <v/>
      </c>
      <c r="O38" s="283" t="str">
        <f>IF('ACS escalators'!P40="","",'ACS escalators'!P40)</f>
        <v/>
      </c>
      <c r="P38" s="283" t="str">
        <f>IF('ACS escalators'!Q40="","",'ACS escalators'!Q40)</f>
        <v/>
      </c>
      <c r="Q38" s="340"/>
      <c r="R38" s="293" t="str">
        <f>IF(Q38="","",Q38*(1+Input!$H$20)*(1-'ACS escalators'!R40))</f>
        <v/>
      </c>
      <c r="S38" s="293" t="str">
        <f>IF(R38="","",R38*(1+Input!$H$21)*(1-'ACS escalators'!S40))</f>
        <v/>
      </c>
      <c r="T38" s="293" t="str">
        <f>IF(S38="","",S38*(1+Input!$H$22)*(1-'ACS escalators'!T40))</f>
        <v/>
      </c>
      <c r="U38" s="294" t="str">
        <f>IF(T38="","",T38*(1+Input!$H$23)*(1-'ACS escalators'!U40))</f>
        <v/>
      </c>
      <c r="V38" s="283"/>
      <c r="W38" s="295" t="str">
        <f t="shared" si="4"/>
        <v/>
      </c>
      <c r="X38" s="296" t="str">
        <f t="shared" si="5"/>
        <v/>
      </c>
    </row>
    <row r="39" spans="1:24" x14ac:dyDescent="0.2">
      <c r="A39" s="290">
        <v>34</v>
      </c>
      <c r="B39" s="297" t="str">
        <f>IF('ACS escalators'!B41="","",'ACS escalators'!B41)</f>
        <v/>
      </c>
      <c r="C39" s="283" t="str">
        <f>IF('ACS escalators'!C41="","",'ACS escalators'!C41)</f>
        <v>Field officer visit</v>
      </c>
      <c r="D39" s="283" t="str">
        <f>IF('ACS escalators'!D41="","",'ACS escalators'!D41)</f>
        <v>BH</v>
      </c>
      <c r="E39" s="340">
        <v>34.804600442586676</v>
      </c>
      <c r="F39" s="293">
        <f>IF(E39="","",E39*(1+Input!$H$20)*(1-'ACS escalators'!E41)+'ACS escalators'!J41)</f>
        <v>35.735735979632395</v>
      </c>
      <c r="G39" s="293">
        <f>IF(F39="","",F39*(1+Input!$H$21)*(1-'ACS escalators'!F41)+'ACS escalators'!K41)</f>
        <v>36.672259920518385</v>
      </c>
      <c r="H39" s="293">
        <f>IF(G39="","",G39*(1+Input!$H$22)*(1-'ACS escalators'!G41)+'ACS escalators'!L41)</f>
        <v>37.679577593067833</v>
      </c>
      <c r="I39" s="294">
        <f>IF(H39="","",H39*(1+Input!$H$23)*(1-'ACS escalators'!H41)+'ACS escalators'!M41)</f>
        <v>38.798415069172655</v>
      </c>
      <c r="J39" s="283"/>
      <c r="K39" s="295">
        <f t="shared" si="3"/>
        <v>34.799999999999997</v>
      </c>
      <c r="L39" s="296" t="str">
        <f t="shared" si="2"/>
        <v>YES</v>
      </c>
      <c r="M39" s="290">
        <v>13</v>
      </c>
      <c r="N39" s="297" t="str">
        <f>IF('ACS escalators'!O41="","",'ACS escalators'!O41)</f>
        <v>Labour - design</v>
      </c>
      <c r="O39" s="283" t="str">
        <f>IF('ACS escalators'!P41="","",'ACS escalators'!P41)</f>
        <v/>
      </c>
      <c r="P39" s="283" t="str">
        <f>IF('ACS escalators'!Q41="","",'ACS escalators'!Q41)</f>
        <v/>
      </c>
      <c r="Q39" s="340"/>
      <c r="R39" s="293" t="str">
        <f>IF(Q39="","",Q39*(1+Input!$H$20)*(1-'ACS escalators'!R41))</f>
        <v/>
      </c>
      <c r="S39" s="293" t="str">
        <f>IF(R39="","",R39*(1+Input!$H$21)*(1-'ACS escalators'!S41))</f>
        <v/>
      </c>
      <c r="T39" s="293" t="str">
        <f>IF(S39="","",S39*(1+Input!$H$22)*(1-'ACS escalators'!T41))</f>
        <v/>
      </c>
      <c r="U39" s="294" t="str">
        <f>IF(T39="","",T39*(1+Input!$H$23)*(1-'ACS escalators'!U41))</f>
        <v/>
      </c>
      <c r="V39" s="283"/>
      <c r="W39" s="295" t="str">
        <f t="shared" si="4"/>
        <v/>
      </c>
      <c r="X39" s="296" t="str">
        <f t="shared" si="5"/>
        <v/>
      </c>
    </row>
    <row r="40" spans="1:24" x14ac:dyDescent="0.2">
      <c r="A40" s="290">
        <v>35</v>
      </c>
      <c r="B40" s="297" t="str">
        <f>IF('ACS escalators'!B42="","",'ACS escalators'!B42)</f>
        <v/>
      </c>
      <c r="C40" s="283" t="str">
        <f>IF('ACS escalators'!C42="","",'ACS escalators'!C42)</f>
        <v/>
      </c>
      <c r="D40" s="283" t="str">
        <f>IF('ACS escalators'!D42="","",'ACS escalators'!D42)</f>
        <v>AH</v>
      </c>
      <c r="E40" s="340">
        <v>60.908050774526686</v>
      </c>
      <c r="F40" s="293">
        <f>IF(E40="","",E40*(1+Input!$H$20)*(1-'ACS escalators'!E42)+'ACS escalators'!J42)</f>
        <v>62.537537964356694</v>
      </c>
      <c r="G40" s="293">
        <f>IF(F40="","",F40*(1+Input!$H$21)*(1-'ACS escalators'!F42)+'ACS escalators'!K42)</f>
        <v>64.176454860907185</v>
      </c>
      <c r="H40" s="293">
        <f>IF(G40="","",G40*(1+Input!$H$22)*(1-'ACS escalators'!G42)+'ACS escalators'!L42)</f>
        <v>65.939260787868719</v>
      </c>
      <c r="I40" s="294">
        <f>IF(H40="","",H40*(1+Input!$H$23)*(1-'ACS escalators'!H42)+'ACS escalators'!M42)</f>
        <v>67.897226371052142</v>
      </c>
      <c r="J40" s="283"/>
      <c r="K40" s="295">
        <f t="shared" si="3"/>
        <v>60.91</v>
      </c>
      <c r="L40" s="296" t="str">
        <f t="shared" si="2"/>
        <v>YES</v>
      </c>
      <c r="M40" s="290">
        <v>14</v>
      </c>
      <c r="N40" s="297" t="str">
        <f>IF('ACS escalators'!O42="","",'ACS escalators'!O42)</f>
        <v/>
      </c>
      <c r="O40" s="283" t="str">
        <f>IF('ACS escalators'!P42="","",'ACS escalators'!P42)</f>
        <v>Design</v>
      </c>
      <c r="P40" s="283" t="str">
        <f>IF('ACS escalators'!Q42="","",'ACS escalators'!Q42)</f>
        <v>BH</v>
      </c>
      <c r="Q40" s="340">
        <v>138.93236673715683</v>
      </c>
      <c r="R40" s="293">
        <f>IF(Q40="","",Q40*(1+Input!$H$20)*(1-'ACS escalators'!R42))</f>
        <v>142.64925652384562</v>
      </c>
      <c r="S40" s="293">
        <f>IF(R40="","",R40*(1+Input!$H$21)*(1-'ACS escalators'!S42))</f>
        <v>146.38765564231659</v>
      </c>
      <c r="T40" s="293">
        <f>IF(S40="","",S40*(1+Input!$H$22)*(1-'ACS escalators'!T42))</f>
        <v>150.40864788253259</v>
      </c>
      <c r="U40" s="294">
        <f>IF(T40="","",T40*(1+Input!$H$23)*(1-'ACS escalators'!U42))</f>
        <v>154.8748028325337</v>
      </c>
      <c r="V40" s="283"/>
      <c r="W40" s="295">
        <f t="shared" si="4"/>
        <v>138.93</v>
      </c>
      <c r="X40" s="296" t="str">
        <f t="shared" si="5"/>
        <v>YES</v>
      </c>
    </row>
    <row r="41" spans="1:24" x14ac:dyDescent="0.2">
      <c r="A41" s="290">
        <v>36</v>
      </c>
      <c r="B41" s="297" t="str">
        <f>IF('ACS escalators'!B43="","",'ACS escalators'!B43)</f>
        <v/>
      </c>
      <c r="C41" s="283" t="str">
        <f>IF('ACS escalators'!C43="","",'ACS escalators'!C43)</f>
        <v>MC cyclic meter read fee</v>
      </c>
      <c r="D41" s="283" t="str">
        <f>IF('ACS escalators'!D43="","",'ACS escalators'!D43)</f>
        <v/>
      </c>
      <c r="E41" s="340">
        <v>34.804600442586676</v>
      </c>
      <c r="F41" s="293">
        <f>IF(E41="","",E41*(1+Input!$H$20)*(1-'ACS escalators'!E43)+'ACS escalators'!J43)</f>
        <v>35.735735979632395</v>
      </c>
      <c r="G41" s="293">
        <f>IF(F41="","",F41*(1+Input!$H$21)*(1-'ACS escalators'!F43)+'ACS escalators'!K43)</f>
        <v>36.672259920518385</v>
      </c>
      <c r="H41" s="293">
        <f>IF(G41="","",G41*(1+Input!$H$22)*(1-'ACS escalators'!G43)+'ACS escalators'!L43)</f>
        <v>37.679577593067833</v>
      </c>
      <c r="I41" s="294">
        <f>IF(H41="","",H41*(1+Input!$H$23)*(1-'ACS escalators'!H43)+'ACS escalators'!M43)</f>
        <v>38.798415069172655</v>
      </c>
      <c r="J41" s="283"/>
      <c r="K41" s="295">
        <f t="shared" si="3"/>
        <v>34.799999999999997</v>
      </c>
      <c r="L41" s="296" t="str">
        <f t="shared" si="2"/>
        <v>YES</v>
      </c>
      <c r="M41" s="290">
        <v>15</v>
      </c>
      <c r="N41" s="297" t="str">
        <f>IF('ACS escalators'!O43="","",'ACS escalators'!O43)</f>
        <v/>
      </c>
      <c r="O41" s="283" t="str">
        <f>IF('ACS escalators'!P43="","",'ACS escalators'!P43)</f>
        <v/>
      </c>
      <c r="P41" s="283" t="str">
        <f>IF('ACS escalators'!Q43="","",'ACS escalators'!Q43)</f>
        <v>AH</v>
      </c>
      <c r="Q41" s="340">
        <v>168.72869842199501</v>
      </c>
      <c r="R41" s="293">
        <f>IF(Q41="","",Q41*(1+Input!$H$20)*(1-'ACS escalators'!R43))</f>
        <v>173.2427363716435</v>
      </c>
      <c r="S41" s="293">
        <f>IF(R41="","",R41*(1+Input!$H$21)*(1-'ACS escalators'!S43))</f>
        <v>177.78289668313442</v>
      </c>
      <c r="T41" s="293">
        <f>IF(S41="","",S41*(1+Input!$H$22)*(1-'ACS escalators'!T43))</f>
        <v>182.6662568603935</v>
      </c>
      <c r="U41" s="294">
        <f>IF(T41="","",T41*(1+Input!$H$23)*(1-'ACS escalators'!U43))</f>
        <v>188.09025221412054</v>
      </c>
      <c r="V41" s="283"/>
      <c r="W41" s="295">
        <f t="shared" si="4"/>
        <v>168.73</v>
      </c>
      <c r="X41" s="296" t="str">
        <f t="shared" si="5"/>
        <v>YES</v>
      </c>
    </row>
    <row r="42" spans="1:24" x14ac:dyDescent="0.2">
      <c r="A42" s="290">
        <v>37</v>
      </c>
      <c r="B42" s="297" t="str">
        <f>IF('ACS escalators'!B44="","",'ACS escalators'!B44)</f>
        <v/>
      </c>
      <c r="C42" s="283" t="str">
        <f>IF('ACS escalators'!C44="","",'ACS escalators'!C44)</f>
        <v>Priority re-energisation</v>
      </c>
      <c r="D42" s="283" t="str">
        <f>IF('ACS escalators'!D44="","",'ACS escalators'!D44)</f>
        <v/>
      </c>
      <c r="E42" s="340">
        <v>33.689499999999995</v>
      </c>
      <c r="F42" s="293">
        <f>IF(E42="","",E42*(1+Input!$H$20)*(1-'ACS escalators'!E44)+'ACS escalators'!J44)</f>
        <v>34.590802996626785</v>
      </c>
      <c r="G42" s="293">
        <f>IF(F42="","",F42*(1+Input!$H$21)*(1-'ACS escalators'!F44)+'ACS escalators'!K44)</f>
        <v>35.497321758665869</v>
      </c>
      <c r="H42" s="293">
        <f>IF(G42="","",G42*(1+Input!$H$22)*(1-'ACS escalators'!G44)+'ACS escalators'!L44)</f>
        <v>36.472366100442905</v>
      </c>
      <c r="I42" s="294">
        <f>IF(H42="","",H42*(1+Input!$H$23)*(1-'ACS escalators'!H44)+'ACS escalators'!M44)</f>
        <v>37.555357276089687</v>
      </c>
      <c r="J42" s="283"/>
      <c r="K42" s="295">
        <f t="shared" si="3"/>
        <v>33.69</v>
      </c>
      <c r="L42" s="296" t="str">
        <f t="shared" si="2"/>
        <v>YES</v>
      </c>
      <c r="M42" s="290">
        <v>16</v>
      </c>
      <c r="N42" s="297" t="str">
        <f>IF('ACS escalators'!O44="","",'ACS escalators'!O44)</f>
        <v/>
      </c>
      <c r="O42" s="283" t="str">
        <f>IF('ACS escalators'!P44="","",'ACS escalators'!P44)</f>
        <v>Drafting</v>
      </c>
      <c r="P42" s="283" t="str">
        <f>IF('ACS escalators'!Q44="","",'ACS escalators'!Q44)</f>
        <v>BH</v>
      </c>
      <c r="Q42" s="340">
        <v>106.76008671618008</v>
      </c>
      <c r="R42" s="293">
        <f>IF(Q42="","",Q42*(1+Input!$H$20)*(1-'ACS escalators'!R44))</f>
        <v>109.61626404375781</v>
      </c>
      <c r="S42" s="293">
        <f>IF(R42="","",R42*(1+Input!$H$21)*(1-'ACS escalators'!S44))</f>
        <v>112.48896983176705</v>
      </c>
      <c r="T42" s="293">
        <f>IF(S42="","",S42*(1+Input!$H$22)*(1-'ACS escalators'!T44))</f>
        <v>115.57882923841414</v>
      </c>
      <c r="U42" s="294">
        <f>IF(T42="","",T42*(1+Input!$H$23)*(1-'ACS escalators'!U44))</f>
        <v>119.01076594940446</v>
      </c>
      <c r="V42" s="283"/>
      <c r="W42" s="295">
        <f t="shared" si="4"/>
        <v>106.76</v>
      </c>
      <c r="X42" s="296" t="str">
        <f t="shared" si="5"/>
        <v>YES</v>
      </c>
    </row>
    <row r="43" spans="1:24" x14ac:dyDescent="0.2">
      <c r="A43" s="290">
        <v>38</v>
      </c>
      <c r="B43" s="297" t="str">
        <f>IF('ACS escalators'!B45="","",'ACS escalators'!B45)</f>
        <v/>
      </c>
      <c r="C43" s="283" t="str">
        <f>IF('ACS escalators'!C45="","",'ACS escalators'!C45)</f>
        <v>Non-standard AMI request</v>
      </c>
      <c r="D43" s="283" t="str">
        <f>IF('ACS escalators'!D45="","",'ACS escalators'!D45)</f>
        <v/>
      </c>
      <c r="E43" s="340">
        <v>0.85132926772953776</v>
      </c>
      <c r="F43" s="293">
        <f>IF(E43="","",E43*(1+Input!$H$20)*(1-'ACS escalators'!E45)+'ACS escalators'!J45)</f>
        <v>0.87410507681310179</v>
      </c>
      <c r="G43" s="293">
        <f>IF(F43="","",F43*(1+Input!$H$21)*(1-'ACS escalators'!F45)+'ACS escalators'!K45)</f>
        <v>0.89701268760785458</v>
      </c>
      <c r="H43" s="293">
        <f>IF(G43="","",G43*(1+Input!$H$22)*(1-'ACS escalators'!G45)+'ACS escalators'!L45)</f>
        <v>0.92165193085838881</v>
      </c>
      <c r="I43" s="294">
        <f>IF(H43="","",H43*(1+Input!$H$23)*(1-'ACS escalators'!H45)+'ACS escalators'!M45)</f>
        <v>0.94901897651121603</v>
      </c>
      <c r="J43" s="283"/>
      <c r="K43" s="295">
        <f t="shared" si="3"/>
        <v>0.85</v>
      </c>
      <c r="L43" s="296" t="str">
        <f t="shared" si="2"/>
        <v>YES</v>
      </c>
      <c r="M43" s="290">
        <v>17</v>
      </c>
      <c r="N43" s="297" t="str">
        <f>IF('ACS escalators'!O45="","",'ACS escalators'!O45)</f>
        <v/>
      </c>
      <c r="O43" s="283" t="str">
        <f>IF('ACS escalators'!P45="","",'ACS escalators'!P45)</f>
        <v/>
      </c>
      <c r="P43" s="283" t="str">
        <f>IF('ACS escalators'!Q45="","",'ACS escalators'!Q45)</f>
        <v>AH</v>
      </c>
      <c r="Q43" s="340">
        <v>129.65889491498379</v>
      </c>
      <c r="R43" s="293">
        <f>IF(Q43="","",Q43*(1+Input!$H$20)*(1-'ACS escalators'!R45))</f>
        <v>133.12768936210216</v>
      </c>
      <c r="S43" s="293">
        <f>IF(R43="","",R43*(1+Input!$H$21)*(1-'ACS escalators'!S45))</f>
        <v>136.61655743392535</v>
      </c>
      <c r="T43" s="293">
        <f>IF(S43="","",S43*(1+Input!$H$22)*(1-'ACS escalators'!T45))</f>
        <v>140.36915607290538</v>
      </c>
      <c r="U43" s="294">
        <f>IF(T43="","",T43*(1+Input!$H$23)*(1-'ACS escalators'!U45))</f>
        <v>144.53720365559553</v>
      </c>
      <c r="V43" s="283"/>
      <c r="W43" s="295">
        <f t="shared" si="4"/>
        <v>129.66</v>
      </c>
      <c r="X43" s="296" t="str">
        <f t="shared" si="5"/>
        <v>YES</v>
      </c>
    </row>
    <row r="44" spans="1:24" x14ac:dyDescent="0.2">
      <c r="A44" s="290">
        <v>39</v>
      </c>
      <c r="B44" s="297" t="str">
        <f>IF('ACS escalators'!B46="","",'ACS escalators'!B46)</f>
        <v/>
      </c>
      <c r="C44" s="283" t="str">
        <f>IF('ACS escalators'!C46="","",'ACS escalators'!C46)</f>
        <v/>
      </c>
      <c r="D44" s="283" t="str">
        <f>IF('ACS escalators'!D46="","",'ACS escalators'!D46)</f>
        <v/>
      </c>
      <c r="E44" s="340"/>
      <c r="F44" s="293" t="str">
        <f>IF(E44="","",E44*(1+Input!$H$20)*(1-'ACS escalators'!E46)+'ACS escalators'!J46)</f>
        <v/>
      </c>
      <c r="G44" s="293" t="str">
        <f>IF(F44="","",F44*(1+Input!$H$21)*(1-'ACS escalators'!F46)+'ACS escalators'!K46)</f>
        <v/>
      </c>
      <c r="H44" s="293" t="str">
        <f>IF(G44="","",G44*(1+Input!$H$22)*(1-'ACS escalators'!G46)+'ACS escalators'!L46)</f>
        <v/>
      </c>
      <c r="I44" s="294" t="str">
        <f>IF(H44="","",H44*(1+Input!$H$23)*(1-'ACS escalators'!H46)+'ACS escalators'!M46)</f>
        <v/>
      </c>
      <c r="J44" s="283"/>
      <c r="K44" s="295" t="str">
        <f t="shared" si="3"/>
        <v/>
      </c>
      <c r="L44" s="296" t="str">
        <f t="shared" si="2"/>
        <v/>
      </c>
      <c r="M44" s="290">
        <v>18</v>
      </c>
      <c r="N44" s="297" t="str">
        <f>IF('ACS escalators'!O46="","",'ACS escalators'!O46)</f>
        <v/>
      </c>
      <c r="O44" s="283" t="str">
        <f>IF('ACS escalators'!P46="","",'ACS escalators'!P46)</f>
        <v>Survey</v>
      </c>
      <c r="P44" s="283" t="str">
        <f>IF('ACS escalators'!Q46="","",'ACS escalators'!Q46)</f>
        <v>BH</v>
      </c>
      <c r="Q44" s="340">
        <v>125.75555121989919</v>
      </c>
      <c r="R44" s="293">
        <f>IF(Q44="","",Q44*(1+Input!$H$20)*(1-'ACS escalators'!R46))</f>
        <v>129.11991860905454</v>
      </c>
      <c r="S44" s="293">
        <f>IF(R44="","",R44*(1+Input!$H$21)*(1-'ACS escalators'!S46))</f>
        <v>132.50375531222335</v>
      </c>
      <c r="T44" s="293">
        <f>IF(S44="","",S44*(1+Input!$H$22)*(1-'ACS escalators'!T46))</f>
        <v>136.14338304976815</v>
      </c>
      <c r="U44" s="294">
        <f>IF(T44="","",T44*(1+Input!$H$23)*(1-'ACS escalators'!U46))</f>
        <v>140.18595276020454</v>
      </c>
      <c r="V44" s="283"/>
      <c r="W44" s="295">
        <f t="shared" si="4"/>
        <v>125.76</v>
      </c>
      <c r="X44" s="296" t="str">
        <f t="shared" si="5"/>
        <v>YES</v>
      </c>
    </row>
    <row r="45" spans="1:24" x14ac:dyDescent="0.2">
      <c r="A45" s="290">
        <v>40</v>
      </c>
      <c r="B45" s="297" t="str">
        <f>IF('ACS escalators'!B47="","",'ACS escalators'!B47)</f>
        <v>Type 7 metering services</v>
      </c>
      <c r="C45" s="283" t="str">
        <f>IF('ACS escalators'!C47="","",'ACS escalators'!C47)</f>
        <v/>
      </c>
      <c r="D45" s="283" t="str">
        <f>IF('ACS escalators'!D47="","",'ACS escalators'!D47)</f>
        <v/>
      </c>
      <c r="E45" s="340"/>
      <c r="F45" s="293" t="str">
        <f>IF(E45="","",E45*(1+Input!$H$20)*(1-'ACS escalators'!E47)+'ACS escalators'!J47)</f>
        <v/>
      </c>
      <c r="G45" s="293" t="str">
        <f>IF(F45="","",F45*(1+Input!$H$21)*(1-'ACS escalators'!F47)+'ACS escalators'!K47)</f>
        <v/>
      </c>
      <c r="H45" s="293" t="str">
        <f>IF(G45="","",G45*(1+Input!$H$22)*(1-'ACS escalators'!G47)+'ACS escalators'!L47)</f>
        <v/>
      </c>
      <c r="I45" s="294" t="str">
        <f>IF(H45="","",H45*(1+Input!$H$23)*(1-'ACS escalators'!H47)+'ACS escalators'!M47)</f>
        <v/>
      </c>
      <c r="J45" s="283"/>
      <c r="K45" s="295" t="str">
        <f t="shared" si="3"/>
        <v/>
      </c>
      <c r="L45" s="296" t="str">
        <f t="shared" si="2"/>
        <v/>
      </c>
      <c r="M45" s="290">
        <v>19</v>
      </c>
      <c r="N45" s="297" t="str">
        <f>IF('ACS escalators'!O47="","",'ACS escalators'!O47)</f>
        <v/>
      </c>
      <c r="O45" s="283" t="str">
        <f>IF('ACS escalators'!P47="","",'ACS escalators'!P47)</f>
        <v/>
      </c>
      <c r="P45" s="283" t="str">
        <f>IF('ACS escalators'!Q47="","",'ACS escalators'!Q47)</f>
        <v>AH</v>
      </c>
      <c r="Q45" s="340">
        <v>152.73953589461439</v>
      </c>
      <c r="R45" s="293">
        <f>IF(Q45="","",Q45*(1+Input!$H$20)*(1-'ACS escalators'!R47))</f>
        <v>156.82581207577476</v>
      </c>
      <c r="S45" s="293">
        <f>IF(R45="","",R45*(1+Input!$H$21)*(1-'ACS escalators'!S47))</f>
        <v>160.93573519703244</v>
      </c>
      <c r="T45" s="293">
        <f>IF(S45="","",S45*(1+Input!$H$22)*(1-'ACS escalators'!T47))</f>
        <v>165.35633568797752</v>
      </c>
      <c r="U45" s="294">
        <f>IF(T45="","",T45*(1+Input!$H$23)*(1-'ACS escalators'!U47))</f>
        <v>170.26633938486384</v>
      </c>
      <c r="V45" s="283"/>
      <c r="W45" s="295">
        <f t="shared" si="4"/>
        <v>152.74</v>
      </c>
      <c r="X45" s="296" t="str">
        <f t="shared" si="5"/>
        <v>YES</v>
      </c>
    </row>
    <row r="46" spans="1:24" x14ac:dyDescent="0.2">
      <c r="A46" s="290">
        <v>41</v>
      </c>
      <c r="B46" s="297" t="str">
        <f>IF('ACS escalators'!B48="","",'ACS escalators'!B48)</f>
        <v/>
      </c>
      <c r="C46" s="283" t="str">
        <f>IF('ACS escalators'!C48="","",'ACS escalators'!C48)</f>
        <v>Per NMI</v>
      </c>
      <c r="D46" s="283" t="str">
        <f>IF('ACS escalators'!D48="","",'ACS escalators'!D48)</f>
        <v/>
      </c>
      <c r="E46" s="340">
        <v>30</v>
      </c>
      <c r="F46" s="293">
        <f>IF(E46="","",E46*(1+Input!$H$20)*(1-'ACS escalators'!E48)+'ACS escalators'!J48)</f>
        <v>30.802596948568659</v>
      </c>
      <c r="G46" s="293">
        <f>IF(F46="","",F46*(1+Input!$H$21)*(1-'ACS escalators'!F48)+'ACS escalators'!K48)</f>
        <v>31.609838458866307</v>
      </c>
      <c r="H46" s="293">
        <f>IF(G46="","",G46*(1+Input!$H$22)*(1-'ACS escalators'!G48)+'ACS escalators'!L48)</f>
        <v>32.478100981412233</v>
      </c>
      <c r="I46" s="294">
        <f>IF(H46="","",H46*(1+Input!$H$23)*(1-'ACS escalators'!H48)+'ACS escalators'!M48)</f>
        <v>33.442488558235972</v>
      </c>
      <c r="J46" s="283"/>
      <c r="K46" s="295">
        <f t="shared" si="3"/>
        <v>30</v>
      </c>
      <c r="L46" s="296" t="str">
        <f t="shared" si="2"/>
        <v>YES</v>
      </c>
      <c r="M46" s="290">
        <v>20</v>
      </c>
      <c r="N46" s="297" t="str">
        <f>IF('ACS escalators'!O48="","",'ACS escalators'!O48)</f>
        <v/>
      </c>
      <c r="O46" s="283" t="str">
        <f>IF('ACS escalators'!P48="","",'ACS escalators'!P48)</f>
        <v>Tech officer</v>
      </c>
      <c r="P46" s="283" t="str">
        <f>IF('ACS escalators'!Q48="","",'ACS escalators'!Q48)</f>
        <v>BH</v>
      </c>
      <c r="Q46" s="340">
        <v>125.75555121989919</v>
      </c>
      <c r="R46" s="293">
        <f>IF(Q46="","",Q46*(1+Input!$H$20)*(1-'ACS escalators'!R48))</f>
        <v>129.11991860905454</v>
      </c>
      <c r="S46" s="293">
        <f>IF(R46="","",R46*(1+Input!$H$21)*(1-'ACS escalators'!S48))</f>
        <v>132.50375531222335</v>
      </c>
      <c r="T46" s="293">
        <f>IF(S46="","",S46*(1+Input!$H$22)*(1-'ACS escalators'!T48))</f>
        <v>136.14338304976815</v>
      </c>
      <c r="U46" s="294">
        <f>IF(T46="","",T46*(1+Input!$H$23)*(1-'ACS escalators'!U48))</f>
        <v>140.18595276020454</v>
      </c>
      <c r="V46" s="283"/>
      <c r="W46" s="295">
        <f t="shared" si="4"/>
        <v>125.76</v>
      </c>
      <c r="X46" s="296" t="str">
        <f t="shared" si="5"/>
        <v>YES</v>
      </c>
    </row>
    <row r="47" spans="1:24" x14ac:dyDescent="0.2">
      <c r="A47" s="290">
        <v>42</v>
      </c>
      <c r="B47" s="297" t="str">
        <f>IF('ACS escalators'!B49="","",'ACS escalators'!B49)</f>
        <v/>
      </c>
      <c r="C47" s="283" t="str">
        <f>IF('ACS escalators'!C49="","",'ACS escalators'!C49)</f>
        <v>Per light</v>
      </c>
      <c r="D47" s="283" t="str">
        <f>IF('ACS escalators'!D49="","",'ACS escalators'!D49)</f>
        <v/>
      </c>
      <c r="E47" s="340">
        <v>1.7608558436610344</v>
      </c>
      <c r="F47" s="293">
        <f>IF(E47="","",E47*(1+Input!$H$20)*(1-'ACS escalators'!E49)+'ACS escalators'!J49)</f>
        <v>1.8079644278940892</v>
      </c>
      <c r="G47" s="293">
        <f>IF(F47="","",F47*(1+Input!$H$21)*(1-'ACS escalators'!F49)+'ACS escalators'!K49)</f>
        <v>1.8553456255825351</v>
      </c>
      <c r="H47" s="293">
        <f>IF(G47="","",G47*(1+Input!$H$22)*(1-'ACS escalators'!G49)+'ACS escalators'!L49)</f>
        <v>1.9063084634710974</v>
      </c>
      <c r="I47" s="294">
        <f>IF(H47="","",H47*(1+Input!$H$23)*(1-'ACS escalators'!H49)+'ACS escalators'!M49)</f>
        <v>1.9629133801445702</v>
      </c>
      <c r="J47" s="283"/>
      <c r="K47" s="295">
        <f t="shared" si="3"/>
        <v>1.76</v>
      </c>
      <c r="L47" s="296" t="str">
        <f t="shared" si="2"/>
        <v>YES</v>
      </c>
      <c r="M47" s="290">
        <v>21</v>
      </c>
      <c r="N47" s="297" t="str">
        <f>IF('ACS escalators'!O49="","",'ACS escalators'!O49)</f>
        <v/>
      </c>
      <c r="O47" s="283" t="str">
        <f>IF('ACS escalators'!P49="","",'ACS escalators'!P49)</f>
        <v/>
      </c>
      <c r="P47" s="283" t="str">
        <f>IF('ACS escalators'!Q49="","",'ACS escalators'!Q49)</f>
        <v>AH</v>
      </c>
      <c r="Q47" s="340">
        <v>152.73953589461439</v>
      </c>
      <c r="R47" s="293">
        <f>IF(Q47="","",Q47*(1+Input!$H$20)*(1-'ACS escalators'!R49))</f>
        <v>156.82581207577476</v>
      </c>
      <c r="S47" s="293">
        <f>IF(R47="","",R47*(1+Input!$H$21)*(1-'ACS escalators'!S49))</f>
        <v>160.93573519703244</v>
      </c>
      <c r="T47" s="293">
        <f>IF(S47="","",S47*(1+Input!$H$22)*(1-'ACS escalators'!T49))</f>
        <v>165.35633568797752</v>
      </c>
      <c r="U47" s="294">
        <f>IF(T47="","",T47*(1+Input!$H$23)*(1-'ACS escalators'!U49))</f>
        <v>170.26633938486384</v>
      </c>
      <c r="V47" s="283"/>
      <c r="W47" s="295">
        <f t="shared" si="4"/>
        <v>152.74</v>
      </c>
      <c r="X47" s="296" t="str">
        <f t="shared" si="5"/>
        <v>YES</v>
      </c>
    </row>
    <row r="48" spans="1:24" x14ac:dyDescent="0.2">
      <c r="A48" s="290">
        <v>43</v>
      </c>
      <c r="B48" s="297" t="str">
        <f>IF('ACS escalators'!B50="","",'ACS escalators'!B50)</f>
        <v/>
      </c>
      <c r="C48" s="283" t="str">
        <f>IF('ACS escalators'!C50="","",'ACS escalators'!C50)</f>
        <v/>
      </c>
      <c r="D48" s="283" t="str">
        <f>IF('ACS escalators'!D50="","",'ACS escalators'!D50)</f>
        <v/>
      </c>
      <c r="E48" s="340"/>
      <c r="F48" s="293" t="str">
        <f>IF(E48="","",E48*(1+Input!$H$20)*(1-'ACS escalators'!E50)+'ACS escalators'!J50)</f>
        <v/>
      </c>
      <c r="G48" s="293" t="str">
        <f>IF(F48="","",F48*(1+Input!$H$21)*(1-'ACS escalators'!F50)+'ACS escalators'!K50)</f>
        <v/>
      </c>
      <c r="H48" s="293" t="str">
        <f>IF(G48="","",G48*(1+Input!$H$22)*(1-'ACS escalators'!G50)+'ACS escalators'!L50)</f>
        <v/>
      </c>
      <c r="I48" s="294" t="str">
        <f>IF(H48="","",H48*(1+Input!$H$23)*(1-'ACS escalators'!H50)+'ACS escalators'!M50)</f>
        <v/>
      </c>
      <c r="J48" s="283"/>
      <c r="K48" s="295" t="str">
        <f t="shared" si="3"/>
        <v/>
      </c>
      <c r="L48" s="296" t="str">
        <f t="shared" si="2"/>
        <v/>
      </c>
      <c r="M48" s="290">
        <v>22</v>
      </c>
      <c r="N48" s="297" t="str">
        <f>IF('ACS escalators'!O50="","",'ACS escalators'!O50)</f>
        <v/>
      </c>
      <c r="O48" s="283" t="str">
        <f>IF('ACS escalators'!P50="","",'ACS escalators'!P50)</f>
        <v>Line inspector</v>
      </c>
      <c r="P48" s="283" t="str">
        <f>IF('ACS escalators'!Q50="","",'ACS escalators'!Q50)</f>
        <v>BH</v>
      </c>
      <c r="Q48" s="340">
        <v>121.20973169922613</v>
      </c>
      <c r="R48" s="293">
        <f>IF(Q48="","",Q48*(1+Input!$H$20)*(1-'ACS escalators'!R50))</f>
        <v>124.45248372584696</v>
      </c>
      <c r="S48" s="293">
        <f>IF(R48="","",R48*(1+Input!$H$21)*(1-'ACS escalators'!S50))</f>
        <v>127.71400128850216</v>
      </c>
      <c r="T48" s="293">
        <f>IF(S48="","",S48*(1+Input!$H$22)*(1-'ACS escalators'!T50))</f>
        <v>131.22206353524498</v>
      </c>
      <c r="U48" s="294">
        <f>IF(T48="","",T48*(1+Input!$H$23)*(1-'ACS escalators'!U50))</f>
        <v>135.11850218327405</v>
      </c>
      <c r="V48" s="283"/>
      <c r="W48" s="295">
        <f t="shared" si="4"/>
        <v>121.21</v>
      </c>
      <c r="X48" s="296" t="str">
        <f t="shared" si="5"/>
        <v>YES</v>
      </c>
    </row>
    <row r="49" spans="1:24" x14ac:dyDescent="0.2">
      <c r="A49" s="290">
        <v>44</v>
      </c>
      <c r="B49" s="297" t="str">
        <f>IF('ACS escalators'!B51="","",'ACS escalators'!B51)</f>
        <v/>
      </c>
      <c r="C49" s="283" t="str">
        <f>IF('ACS escalators'!C51="","",'ACS escalators'!C51)</f>
        <v/>
      </c>
      <c r="D49" s="283" t="str">
        <f>IF('ACS escalators'!D51="","",'ACS escalators'!D51)</f>
        <v/>
      </c>
      <c r="E49" s="340"/>
      <c r="F49" s="293" t="str">
        <f>IF(E49="","",E49*(1+Input!$H$20)*(1-'ACS escalators'!E51)+'ACS escalators'!J51)</f>
        <v/>
      </c>
      <c r="G49" s="293" t="str">
        <f>IF(F49="","",F49*(1+Input!$H$21)*(1-'ACS escalators'!F51)+'ACS escalators'!K51)</f>
        <v/>
      </c>
      <c r="H49" s="293" t="str">
        <f>IF(G49="","",G49*(1+Input!$H$22)*(1-'ACS escalators'!G51)+'ACS escalators'!L51)</f>
        <v/>
      </c>
      <c r="I49" s="294" t="str">
        <f>IF(H49="","",H49*(1+Input!$H$23)*(1-'ACS escalators'!H51)+'ACS escalators'!M51)</f>
        <v/>
      </c>
      <c r="J49" s="283"/>
      <c r="K49" s="295" t="str">
        <f t="shared" si="3"/>
        <v/>
      </c>
      <c r="L49" s="296" t="str">
        <f t="shared" si="2"/>
        <v/>
      </c>
      <c r="M49" s="290">
        <v>23</v>
      </c>
      <c r="N49" s="297" t="str">
        <f>IF('ACS escalators'!O51="","",'ACS escalators'!O51)</f>
        <v/>
      </c>
      <c r="O49" s="283" t="str">
        <f>IF('ACS escalators'!P51="","",'ACS escalators'!P51)</f>
        <v/>
      </c>
      <c r="P49" s="283" t="str">
        <f>IF('ACS escalators'!Q51="","",'ACS escalators'!Q51)</f>
        <v>AH</v>
      </c>
      <c r="Q49" s="340">
        <v>147.211819357476</v>
      </c>
      <c r="R49" s="293">
        <f>IF(Q49="","",Q49*(1+Input!$H$20)*(1-'ACS escalators'!R51))</f>
        <v>151.15021125779438</v>
      </c>
      <c r="S49" s="293">
        <f>IF(R49="","",R49*(1+Input!$H$21)*(1-'ACS escalators'!S51))</f>
        <v>155.11139430418751</v>
      </c>
      <c r="T49" s="293">
        <f>IF(S49="","",S49*(1+Input!$H$22)*(1-'ACS escalators'!T51))</f>
        <v>159.37201115831743</v>
      </c>
      <c r="U49" s="294">
        <f>IF(T49="","",T49*(1+Input!$H$23)*(1-'ACS escalators'!U51))</f>
        <v>164.10431948331643</v>
      </c>
      <c r="V49" s="283"/>
      <c r="W49" s="295">
        <f t="shared" si="4"/>
        <v>147.21</v>
      </c>
      <c r="X49" s="296" t="str">
        <f t="shared" si="5"/>
        <v>YES</v>
      </c>
    </row>
    <row r="50" spans="1:24" x14ac:dyDescent="0.2">
      <c r="A50" s="290">
        <v>45</v>
      </c>
      <c r="B50" s="297" t="str">
        <f>IF('ACS escalators'!B52="","",'ACS escalators'!B52)</f>
        <v/>
      </c>
      <c r="C50" s="283" t="str">
        <f>IF('ACS escalators'!C52="","",'ACS escalators'!C52)</f>
        <v/>
      </c>
      <c r="D50" s="283" t="str">
        <f>IF('ACS escalators'!D52="","",'ACS escalators'!D52)</f>
        <v/>
      </c>
      <c r="E50" s="340"/>
      <c r="F50" s="293" t="str">
        <f>IF(E50="","",E50*(1+Input!$H$20)*(1-'ACS escalators'!E52)+'ACS escalators'!J52)</f>
        <v/>
      </c>
      <c r="G50" s="293" t="str">
        <f>IF(F50="","",F50*(1+Input!$H$21)*(1-'ACS escalators'!F52)+'ACS escalators'!K52)</f>
        <v/>
      </c>
      <c r="H50" s="293" t="str">
        <f>IF(G50="","",G50*(1+Input!$H$22)*(1-'ACS escalators'!G52)+'ACS escalators'!L52)</f>
        <v/>
      </c>
      <c r="I50" s="294" t="str">
        <f>IF(H50="","",H50*(1+Input!$H$23)*(1-'ACS escalators'!H52)+'ACS escalators'!M52)</f>
        <v/>
      </c>
      <c r="J50" s="283"/>
      <c r="K50" s="295" t="str">
        <f t="shared" si="3"/>
        <v/>
      </c>
      <c r="L50" s="296" t="str">
        <f t="shared" si="2"/>
        <v/>
      </c>
      <c r="M50" s="290">
        <v>24</v>
      </c>
      <c r="N50" s="297" t="str">
        <f>IF('ACS escalators'!O52="","",'ACS escalators'!O52)</f>
        <v/>
      </c>
      <c r="O50" s="283" t="str">
        <f>IF('ACS escalators'!P52="","",'ACS escalators'!P52)</f>
        <v>Contract supervision</v>
      </c>
      <c r="P50" s="283" t="str">
        <f>IF('ACS escalators'!Q52="","",'ACS escalators'!Q52)</f>
        <v>BH</v>
      </c>
      <c r="Q50" s="340">
        <v>125.75555121989919</v>
      </c>
      <c r="R50" s="293">
        <f>IF(Q50="","",Q50*(1+Input!$H$20)*(1-'ACS escalators'!R52))</f>
        <v>129.11991860905454</v>
      </c>
      <c r="S50" s="293">
        <f>IF(R50="","",R50*(1+Input!$H$21)*(1-'ACS escalators'!S52))</f>
        <v>132.50375531222335</v>
      </c>
      <c r="T50" s="293">
        <f>IF(S50="","",S50*(1+Input!$H$22)*(1-'ACS escalators'!T52))</f>
        <v>136.14338304976815</v>
      </c>
      <c r="U50" s="294">
        <f>IF(T50="","",T50*(1+Input!$H$23)*(1-'ACS escalators'!U52))</f>
        <v>140.18595276020454</v>
      </c>
      <c r="V50" s="283"/>
      <c r="W50" s="295">
        <f t="shared" si="4"/>
        <v>125.76</v>
      </c>
      <c r="X50" s="296" t="str">
        <f t="shared" si="5"/>
        <v>YES</v>
      </c>
    </row>
    <row r="51" spans="1:24" x14ac:dyDescent="0.2">
      <c r="A51" s="290">
        <v>46</v>
      </c>
      <c r="B51" s="297" t="str">
        <f>IF('ACS escalators'!B53="","",'ACS escalators'!B53)</f>
        <v/>
      </c>
      <c r="C51" s="283" t="str">
        <f>IF('ACS escalators'!C53="","",'ACS escalators'!C53)</f>
        <v/>
      </c>
      <c r="D51" s="283" t="str">
        <f>IF('ACS escalators'!D53="","",'ACS escalators'!D53)</f>
        <v/>
      </c>
      <c r="E51" s="340"/>
      <c r="F51" s="293" t="str">
        <f>IF(E51="","",E51*(1+Input!$H$20)*(1-'ACS escalators'!E53)+'ACS escalators'!J53)</f>
        <v/>
      </c>
      <c r="G51" s="293" t="str">
        <f>IF(F51="","",F51*(1+Input!$H$21)*(1-'ACS escalators'!F53)+'ACS escalators'!K53)</f>
        <v/>
      </c>
      <c r="H51" s="293" t="str">
        <f>IF(G51="","",G51*(1+Input!$H$22)*(1-'ACS escalators'!G53)+'ACS escalators'!L53)</f>
        <v/>
      </c>
      <c r="I51" s="294" t="str">
        <f>IF(H51="","",H51*(1+Input!$H$23)*(1-'ACS escalators'!H53)+'ACS escalators'!M53)</f>
        <v/>
      </c>
      <c r="J51" s="283"/>
      <c r="K51" s="295" t="str">
        <f t="shared" si="3"/>
        <v/>
      </c>
      <c r="L51" s="296" t="str">
        <f t="shared" si="2"/>
        <v/>
      </c>
      <c r="M51" s="290">
        <v>25</v>
      </c>
      <c r="N51" s="297" t="str">
        <f>IF('ACS escalators'!O53="","",'ACS escalators'!O53)</f>
        <v/>
      </c>
      <c r="O51" s="283" t="str">
        <f>IF('ACS escalators'!P53="","",'ACS escalators'!P53)</f>
        <v/>
      </c>
      <c r="P51" s="283" t="str">
        <f>IF('ACS escalators'!Q53="","",'ACS escalators'!Q53)</f>
        <v>AH</v>
      </c>
      <c r="Q51" s="340">
        <v>152.73953589461439</v>
      </c>
      <c r="R51" s="293">
        <f>IF(Q51="","",Q51*(1+Input!$H$20)*(1-'ACS escalators'!R53))</f>
        <v>156.82581207577476</v>
      </c>
      <c r="S51" s="293">
        <f>IF(R51="","",R51*(1+Input!$H$21)*(1-'ACS escalators'!S53))</f>
        <v>160.93573519703244</v>
      </c>
      <c r="T51" s="293">
        <f>IF(S51="","",S51*(1+Input!$H$22)*(1-'ACS escalators'!T53))</f>
        <v>165.35633568797752</v>
      </c>
      <c r="U51" s="294">
        <f>IF(T51="","",T51*(1+Input!$H$23)*(1-'ACS escalators'!U53))</f>
        <v>170.26633938486384</v>
      </c>
      <c r="V51" s="283"/>
      <c r="W51" s="295">
        <f t="shared" si="4"/>
        <v>152.74</v>
      </c>
      <c r="X51" s="296" t="str">
        <f t="shared" si="5"/>
        <v>YES</v>
      </c>
    </row>
    <row r="52" spans="1:24" x14ac:dyDescent="0.2">
      <c r="A52" s="290">
        <v>47</v>
      </c>
      <c r="B52" s="297" t="str">
        <f>IF('ACS escalators'!B54="","",'ACS escalators'!B54)</f>
        <v/>
      </c>
      <c r="C52" s="283" t="str">
        <f>IF('ACS escalators'!C54="","",'ACS escalators'!C54)</f>
        <v/>
      </c>
      <c r="D52" s="283" t="str">
        <f>IF('ACS escalators'!D54="","",'ACS escalators'!D54)</f>
        <v/>
      </c>
      <c r="E52" s="340"/>
      <c r="F52" s="293" t="str">
        <f>IF(E52="","",E52*(1+Input!$H$20)*(1-'ACS escalators'!E54)+'ACS escalators'!J54)</f>
        <v/>
      </c>
      <c r="G52" s="293" t="str">
        <f>IF(F52="","",F52*(1+Input!$H$21)*(1-'ACS escalators'!F54)+'ACS escalators'!K54)</f>
        <v/>
      </c>
      <c r="H52" s="293" t="str">
        <f>IF(G52="","",G52*(1+Input!$H$22)*(1-'ACS escalators'!G54)+'ACS escalators'!L54)</f>
        <v/>
      </c>
      <c r="I52" s="294" t="str">
        <f>IF(H52="","",H52*(1+Input!$H$23)*(1-'ACS escalators'!H54)+'ACS escalators'!M54)</f>
        <v/>
      </c>
      <c r="J52" s="283"/>
      <c r="K52" s="295" t="str">
        <f t="shared" si="3"/>
        <v/>
      </c>
      <c r="L52" s="296" t="str">
        <f t="shared" si="2"/>
        <v/>
      </c>
      <c r="M52" s="290">
        <v>26</v>
      </c>
      <c r="N52" s="297" t="str">
        <f>IF('ACS escalators'!O54="","",'ACS escalators'!O54)</f>
        <v/>
      </c>
      <c r="O52" s="283" t="str">
        <f>IF('ACS escalators'!P54="","",'ACS escalators'!P54)</f>
        <v>Protection engineer</v>
      </c>
      <c r="P52" s="283" t="str">
        <f>IF('ACS escalators'!Q54="","",'ACS escalators'!Q54)</f>
        <v>BH</v>
      </c>
      <c r="Q52" s="340">
        <v>138.93236673715683</v>
      </c>
      <c r="R52" s="293">
        <f>IF(Q52="","",Q52*(1+Input!$H$20)*(1-'ACS escalators'!R54))</f>
        <v>142.64925652384562</v>
      </c>
      <c r="S52" s="293">
        <f>IF(R52="","",R52*(1+Input!$H$21)*(1-'ACS escalators'!S54))</f>
        <v>146.38765564231659</v>
      </c>
      <c r="T52" s="293">
        <f>IF(S52="","",S52*(1+Input!$H$22)*(1-'ACS escalators'!T54))</f>
        <v>150.40864788253259</v>
      </c>
      <c r="U52" s="294">
        <f>IF(T52="","",T52*(1+Input!$H$23)*(1-'ACS escalators'!U54))</f>
        <v>154.8748028325337</v>
      </c>
      <c r="V52" s="283"/>
      <c r="W52" s="295">
        <f t="shared" si="4"/>
        <v>138.93</v>
      </c>
      <c r="X52" s="296" t="str">
        <f t="shared" si="5"/>
        <v>YES</v>
      </c>
    </row>
    <row r="53" spans="1:24" x14ac:dyDescent="0.2">
      <c r="A53" s="290">
        <v>48</v>
      </c>
      <c r="B53" s="297" t="str">
        <f>IF('ACS escalators'!B55="","",'ACS escalators'!B55)</f>
        <v/>
      </c>
      <c r="C53" s="283" t="str">
        <f>IF('ACS escalators'!C55="","",'ACS escalators'!C55)</f>
        <v/>
      </c>
      <c r="D53" s="283" t="str">
        <f>IF('ACS escalators'!D55="","",'ACS escalators'!D55)</f>
        <v/>
      </c>
      <c r="E53" s="340"/>
      <c r="F53" s="293" t="str">
        <f>IF(E53="","",E53*(1+Input!$H$20)*(1-'ACS escalators'!E55)+'ACS escalators'!J55)</f>
        <v/>
      </c>
      <c r="G53" s="293" t="str">
        <f>IF(F53="","",F53*(1+Input!$H$21)*(1-'ACS escalators'!F55)+'ACS escalators'!K55)</f>
        <v/>
      </c>
      <c r="H53" s="293" t="str">
        <f>IF(G53="","",G53*(1+Input!$H$22)*(1-'ACS escalators'!G55)+'ACS escalators'!L55)</f>
        <v/>
      </c>
      <c r="I53" s="294" t="str">
        <f>IF(H53="","",H53*(1+Input!$H$23)*(1-'ACS escalators'!H55)+'ACS escalators'!M55)</f>
        <v/>
      </c>
      <c r="J53" s="283"/>
      <c r="K53" s="295" t="str">
        <f t="shared" si="3"/>
        <v/>
      </c>
      <c r="L53" s="296" t="str">
        <f t="shared" si="2"/>
        <v/>
      </c>
      <c r="M53" s="290">
        <v>27</v>
      </c>
      <c r="N53" s="297" t="str">
        <f>IF('ACS escalators'!O55="","",'ACS escalators'!O55)</f>
        <v/>
      </c>
      <c r="O53" s="283" t="str">
        <f>IF('ACS escalators'!P55="","",'ACS escalators'!P55)</f>
        <v/>
      </c>
      <c r="P53" s="283" t="str">
        <f>IF('ACS escalators'!Q55="","",'ACS escalators'!Q55)</f>
        <v>AH</v>
      </c>
      <c r="Q53" s="340">
        <v>168.72869842199501</v>
      </c>
      <c r="R53" s="293">
        <f>IF(Q53="","",Q53*(1+Input!$H$20)*(1-'ACS escalators'!R55))</f>
        <v>173.2427363716435</v>
      </c>
      <c r="S53" s="293">
        <f>IF(R53="","",R53*(1+Input!$H$21)*(1-'ACS escalators'!S55))</f>
        <v>177.78289668313442</v>
      </c>
      <c r="T53" s="293">
        <f>IF(S53="","",S53*(1+Input!$H$22)*(1-'ACS escalators'!T55))</f>
        <v>182.6662568603935</v>
      </c>
      <c r="U53" s="294">
        <f>IF(T53="","",T53*(1+Input!$H$23)*(1-'ACS escalators'!U55))</f>
        <v>188.09025221412054</v>
      </c>
      <c r="V53" s="283"/>
      <c r="W53" s="295">
        <f t="shared" si="4"/>
        <v>168.73</v>
      </c>
      <c r="X53" s="296" t="str">
        <f t="shared" si="5"/>
        <v>YES</v>
      </c>
    </row>
    <row r="54" spans="1:24" x14ac:dyDescent="0.2">
      <c r="A54" s="290">
        <v>49</v>
      </c>
      <c r="B54" s="297" t="str">
        <f>IF('ACS escalators'!B56="","",'ACS escalators'!B56)</f>
        <v/>
      </c>
      <c r="C54" s="283" t="str">
        <f>IF('ACS escalators'!C56="","",'ACS escalators'!C56)</f>
        <v/>
      </c>
      <c r="D54" s="283" t="str">
        <f>IF('ACS escalators'!D56="","",'ACS escalators'!D56)</f>
        <v/>
      </c>
      <c r="E54" s="340"/>
      <c r="F54" s="293" t="str">
        <f>IF(E54="","",E54*(1+Input!$H$20)*(1-'ACS escalators'!E56)+'ACS escalators'!J56)</f>
        <v/>
      </c>
      <c r="G54" s="293" t="str">
        <f>IF(F54="","",F54*(1+Input!$H$21)*(1-'ACS escalators'!F56)+'ACS escalators'!K56)</f>
        <v/>
      </c>
      <c r="H54" s="293" t="str">
        <f>IF(G54="","",G54*(1+Input!$H$22)*(1-'ACS escalators'!G56)+'ACS escalators'!L56)</f>
        <v/>
      </c>
      <c r="I54" s="294" t="str">
        <f>IF(H54="","",H54*(1+Input!$H$23)*(1-'ACS escalators'!H56)+'ACS escalators'!M56)</f>
        <v/>
      </c>
      <c r="J54" s="283"/>
      <c r="K54" s="295" t="str">
        <f t="shared" si="3"/>
        <v/>
      </c>
      <c r="L54" s="296" t="str">
        <f t="shared" si="2"/>
        <v/>
      </c>
      <c r="M54" s="290">
        <v>28</v>
      </c>
      <c r="N54" s="297" t="str">
        <f>IF('ACS escalators'!O56="","",'ACS escalators'!O56)</f>
        <v/>
      </c>
      <c r="O54" s="283" t="str">
        <f>IF('ACS escalators'!P56="","",'ACS escalators'!P56)</f>
        <v>Maintenance planner</v>
      </c>
      <c r="P54" s="283" t="str">
        <f>IF('ACS escalators'!Q56="","",'ACS escalators'!Q56)</f>
        <v>BH</v>
      </c>
      <c r="Q54" s="340">
        <v>125.75555121989919</v>
      </c>
      <c r="R54" s="293">
        <f>IF(Q54="","",Q54*(1+Input!$H$20)*(1-'ACS escalators'!R56))</f>
        <v>129.11991860905454</v>
      </c>
      <c r="S54" s="293">
        <f>IF(R54="","",R54*(1+Input!$H$21)*(1-'ACS escalators'!S56))</f>
        <v>132.50375531222335</v>
      </c>
      <c r="T54" s="293">
        <f>IF(S54="","",S54*(1+Input!$H$22)*(1-'ACS escalators'!T56))</f>
        <v>136.14338304976815</v>
      </c>
      <c r="U54" s="294">
        <f>IF(T54="","",T54*(1+Input!$H$23)*(1-'ACS escalators'!U56))</f>
        <v>140.18595276020454</v>
      </c>
      <c r="V54" s="283"/>
      <c r="W54" s="295">
        <f t="shared" si="4"/>
        <v>125.76</v>
      </c>
      <c r="X54" s="296" t="str">
        <f t="shared" si="5"/>
        <v>YES</v>
      </c>
    </row>
    <row r="55" spans="1:24" x14ac:dyDescent="0.2">
      <c r="A55" s="290">
        <v>50</v>
      </c>
      <c r="B55" s="297" t="str">
        <f>IF('ACS escalators'!B57="","",'ACS escalators'!B57)</f>
        <v/>
      </c>
      <c r="C55" s="283" t="str">
        <f>IF('ACS escalators'!C57="","",'ACS escalators'!C57)</f>
        <v/>
      </c>
      <c r="D55" s="283" t="str">
        <f>IF('ACS escalators'!D57="","",'ACS escalators'!D57)</f>
        <v/>
      </c>
      <c r="E55" s="340"/>
      <c r="F55" s="293" t="str">
        <f>IF(E55="","",E55*(1+Input!$H$20)*(1-'ACS escalators'!E57)+'ACS escalators'!J57)</f>
        <v/>
      </c>
      <c r="G55" s="293" t="str">
        <f>IF(F55="","",F55*(1+Input!$H$21)*(1-'ACS escalators'!F57)+'ACS escalators'!K57)</f>
        <v/>
      </c>
      <c r="H55" s="293" t="str">
        <f>IF(G55="","",G55*(1+Input!$H$22)*(1-'ACS escalators'!G57)+'ACS escalators'!L57)</f>
        <v/>
      </c>
      <c r="I55" s="294" t="str">
        <f>IF(H55="","",H55*(1+Input!$H$23)*(1-'ACS escalators'!H57)+'ACS escalators'!M57)</f>
        <v/>
      </c>
      <c r="J55" s="283"/>
      <c r="K55" s="295" t="str">
        <f t="shared" si="3"/>
        <v/>
      </c>
      <c r="L55" s="296" t="str">
        <f t="shared" si="2"/>
        <v/>
      </c>
      <c r="M55" s="290">
        <v>29</v>
      </c>
      <c r="N55" s="297" t="str">
        <f>IF('ACS escalators'!O57="","",'ACS escalators'!O57)</f>
        <v/>
      </c>
      <c r="O55" s="283" t="str">
        <f>IF('ACS escalators'!P57="","",'ACS escalators'!P57)</f>
        <v/>
      </c>
      <c r="P55" s="283" t="str">
        <f>IF('ACS escalators'!Q57="","",'ACS escalators'!Q57)</f>
        <v>AH</v>
      </c>
      <c r="Q55" s="340">
        <v>152.73953589461439</v>
      </c>
      <c r="R55" s="293">
        <f>IF(Q55="","",Q55*(1+Input!$H$20)*(1-'ACS escalators'!R57))</f>
        <v>156.82581207577476</v>
      </c>
      <c r="S55" s="293">
        <f>IF(R55="","",R55*(1+Input!$H$21)*(1-'ACS escalators'!S57))</f>
        <v>160.93573519703244</v>
      </c>
      <c r="T55" s="293">
        <f>IF(S55="","",S55*(1+Input!$H$22)*(1-'ACS escalators'!T57))</f>
        <v>165.35633568797752</v>
      </c>
      <c r="U55" s="294">
        <f>IF(T55="","",T55*(1+Input!$H$23)*(1-'ACS escalators'!U57))</f>
        <v>170.26633938486384</v>
      </c>
      <c r="V55" s="283"/>
      <c r="W55" s="295">
        <f t="shared" si="4"/>
        <v>152.74</v>
      </c>
      <c r="X55" s="296" t="str">
        <f t="shared" si="5"/>
        <v>YES</v>
      </c>
    </row>
    <row r="56" spans="1:24" x14ac:dyDescent="0.2">
      <c r="A56" s="290">
        <v>51</v>
      </c>
      <c r="B56" s="297" t="str">
        <f>IF('ACS escalators'!B58="","",'ACS escalators'!B58)</f>
        <v/>
      </c>
      <c r="C56" s="283" t="str">
        <f>IF('ACS escalators'!C58="","",'ACS escalators'!C58)</f>
        <v/>
      </c>
      <c r="D56" s="283" t="str">
        <f>IF('ACS escalators'!D58="","",'ACS escalators'!D58)</f>
        <v/>
      </c>
      <c r="E56" s="340"/>
      <c r="F56" s="293" t="str">
        <f>IF(E56="","",E56*(1+Input!$H$20)*(1-'ACS escalators'!E58)+'ACS escalators'!J58)</f>
        <v/>
      </c>
      <c r="G56" s="293" t="str">
        <f>IF(F56="","",F56*(1+Input!$H$21)*(1-'ACS escalators'!F58)+'ACS escalators'!K58)</f>
        <v/>
      </c>
      <c r="H56" s="293" t="str">
        <f>IF(G56="","",G56*(1+Input!$H$22)*(1-'ACS escalators'!G58)+'ACS escalators'!L58)</f>
        <v/>
      </c>
      <c r="I56" s="294" t="str">
        <f>IF(H56="","",H56*(1+Input!$H$23)*(1-'ACS escalators'!H58)+'ACS escalators'!M58)</f>
        <v/>
      </c>
      <c r="J56" s="283"/>
      <c r="K56" s="295" t="str">
        <f t="shared" si="3"/>
        <v/>
      </c>
      <c r="L56" s="296" t="str">
        <f t="shared" si="2"/>
        <v/>
      </c>
      <c r="M56" s="290">
        <v>30</v>
      </c>
      <c r="N56" s="297" t="str">
        <f>IF('ACS escalators'!O58="","",'ACS escalators'!O58)</f>
        <v/>
      </c>
      <c r="O56" s="283" t="str">
        <f>IF('ACS escalators'!P58="","",'ACS escalators'!P58)</f>
        <v>Senior engineer</v>
      </c>
      <c r="P56" s="283" t="str">
        <f>IF('ACS escalators'!Q58="","",'ACS escalators'!Q58)</f>
        <v>BH</v>
      </c>
      <c r="Q56" s="340">
        <v>200.26144730298699</v>
      </c>
      <c r="R56" s="293">
        <f>IF(Q56="","",Q56*(1+Input!$H$20)*(1-'ACS escalators'!R58))</f>
        <v>205.61908818703102</v>
      </c>
      <c r="S56" s="293">
        <f>IF(R56="","",R56*(1+Input!$H$21)*(1-'ACS escalators'!S58))</f>
        <v>211.0077332928729</v>
      </c>
      <c r="T56" s="293">
        <f>IF(S56="","",S56*(1+Input!$H$22)*(1-'ACS escalators'!T58))</f>
        <v>216.80371693967257</v>
      </c>
      <c r="U56" s="294">
        <f>IF(T56="","",T56*(1+Input!$H$23)*(1-'ACS escalators'!U58))</f>
        <v>223.24137200286398</v>
      </c>
      <c r="V56" s="283"/>
      <c r="W56" s="295">
        <f t="shared" si="4"/>
        <v>200.26</v>
      </c>
      <c r="X56" s="296" t="str">
        <f t="shared" si="5"/>
        <v>YES</v>
      </c>
    </row>
    <row r="57" spans="1:24" x14ac:dyDescent="0.2">
      <c r="A57" s="290">
        <v>52</v>
      </c>
      <c r="B57" s="297" t="str">
        <f>IF('ACS escalators'!B59="","",'ACS escalators'!B59)</f>
        <v/>
      </c>
      <c r="C57" s="283" t="str">
        <f>IF('ACS escalators'!C59="","",'ACS escalators'!C59)</f>
        <v/>
      </c>
      <c r="D57" s="283" t="str">
        <f>IF('ACS escalators'!D59="","",'ACS escalators'!D59)</f>
        <v/>
      </c>
      <c r="E57" s="340"/>
      <c r="F57" s="293" t="str">
        <f>IF(E57="","",E57*(1+Input!$H$20)*(1-'ACS escalators'!E59)+'ACS escalators'!J59)</f>
        <v/>
      </c>
      <c r="G57" s="293" t="str">
        <f>IF(F57="","",F57*(1+Input!$H$21)*(1-'ACS escalators'!F59)+'ACS escalators'!K59)</f>
        <v/>
      </c>
      <c r="H57" s="293" t="str">
        <f>IF(G57="","",G57*(1+Input!$H$22)*(1-'ACS escalators'!G59)+'ACS escalators'!L59)</f>
        <v/>
      </c>
      <c r="I57" s="294" t="str">
        <f>IF(H57="","",H57*(1+Input!$H$23)*(1-'ACS escalators'!H59)+'ACS escalators'!M59)</f>
        <v/>
      </c>
      <c r="J57" s="283"/>
      <c r="K57" s="295" t="str">
        <f t="shared" si="3"/>
        <v/>
      </c>
      <c r="L57" s="296" t="str">
        <f t="shared" si="2"/>
        <v/>
      </c>
      <c r="M57" s="290">
        <v>31</v>
      </c>
      <c r="N57" s="297" t="str">
        <f>IF('ACS escalators'!O59="","",'ACS escalators'!O59)</f>
        <v/>
      </c>
      <c r="O57" s="283" t="str">
        <f>IF('ACS escalators'!P59="","",'ACS escalators'!P59)</f>
        <v/>
      </c>
      <c r="P57" s="283" t="str">
        <f>IF('ACS escalators'!Q59="","",'ACS escalators'!Q59)</f>
        <v>AH</v>
      </c>
      <c r="Q57" s="340">
        <v>299.0177624475657</v>
      </c>
      <c r="R57" s="293">
        <f>IF(Q57="","",Q57*(1+Input!$H$20)*(1-'ACS escalators'!R59))</f>
        <v>307.01745390450719</v>
      </c>
      <c r="S57" s="293">
        <f>IF(R57="","",R57*(1+Input!$H$21)*(1-'ACS escalators'!S59))</f>
        <v>315.06343890997374</v>
      </c>
      <c r="T57" s="293">
        <f>IF(S57="","",S57*(1+Input!$H$22)*(1-'ACS escalators'!T59))</f>
        <v>323.71763613359917</v>
      </c>
      <c r="U57" s="294">
        <f>IF(T57="","",T57*(1+Input!$H$23)*(1-'ACS escalators'!U59))</f>
        <v>333.32993664540129</v>
      </c>
      <c r="V57" s="283"/>
      <c r="W57" s="295">
        <f t="shared" si="4"/>
        <v>299.02</v>
      </c>
      <c r="X57" s="296" t="str">
        <f t="shared" si="5"/>
        <v>YES</v>
      </c>
    </row>
    <row r="58" spans="1:24" x14ac:dyDescent="0.2">
      <c r="A58" s="290">
        <v>53</v>
      </c>
      <c r="B58" s="297" t="str">
        <f>IF('ACS escalators'!B60="","",'ACS escalators'!B60)</f>
        <v/>
      </c>
      <c r="C58" s="283" t="str">
        <f>IF('ACS escalators'!C60="","",'ACS escalators'!C60)</f>
        <v/>
      </c>
      <c r="D58" s="283" t="str">
        <f>IF('ACS escalators'!D60="","",'ACS escalators'!D60)</f>
        <v/>
      </c>
      <c r="E58" s="340"/>
      <c r="F58" s="293" t="str">
        <f>IF(E58="","",E58*(1+Input!$H$20)*(1-'ACS escalators'!E60)+'ACS escalators'!J60)</f>
        <v/>
      </c>
      <c r="G58" s="293" t="str">
        <f>IF(F58="","",F58*(1+Input!$H$21)*(1-'ACS escalators'!F60)+'ACS escalators'!K60)</f>
        <v/>
      </c>
      <c r="H58" s="293" t="str">
        <f>IF(G58="","",G58*(1+Input!$H$22)*(1-'ACS escalators'!G60)+'ACS escalators'!L60)</f>
        <v/>
      </c>
      <c r="I58" s="294" t="str">
        <f>IF(H58="","",H58*(1+Input!$H$23)*(1-'ACS escalators'!H60)+'ACS escalators'!M60)</f>
        <v/>
      </c>
      <c r="J58" s="283"/>
      <c r="K58" s="295" t="str">
        <f t="shared" si="3"/>
        <v/>
      </c>
      <c r="L58" s="296" t="str">
        <f t="shared" si="2"/>
        <v/>
      </c>
      <c r="M58" s="290">
        <v>32</v>
      </c>
      <c r="N58" s="297" t="str">
        <f>IF('ACS escalators'!O60="","",'ACS escalators'!O60)</f>
        <v/>
      </c>
      <c r="O58" s="283" t="str">
        <f>IF('ACS escalators'!P60="","",'ACS escalators'!P60)</f>
        <v/>
      </c>
      <c r="P58" s="283" t="str">
        <f>IF('ACS escalators'!Q60="","",'ACS escalators'!Q60)</f>
        <v/>
      </c>
      <c r="Q58" s="340"/>
      <c r="R58" s="293" t="str">
        <f>IF(Q58="","",Q58*(1+Input!$H$20)*(1-'ACS escalators'!R60))</f>
        <v/>
      </c>
      <c r="S58" s="293" t="str">
        <f>IF(R58="","",R58*(1+Input!$H$21)*(1-'ACS escalators'!S60))</f>
        <v/>
      </c>
      <c r="T58" s="293" t="str">
        <f>IF(S58="","",S58*(1+Input!$H$22)*(1-'ACS escalators'!T60))</f>
        <v/>
      </c>
      <c r="U58" s="294" t="str">
        <f>IF(T58="","",T58*(1+Input!$H$23)*(1-'ACS escalators'!U60))</f>
        <v/>
      </c>
      <c r="V58" s="283"/>
      <c r="W58" s="295" t="str">
        <f t="shared" si="4"/>
        <v/>
      </c>
      <c r="X58" s="296" t="str">
        <f t="shared" si="5"/>
        <v/>
      </c>
    </row>
    <row r="59" spans="1:24" x14ac:dyDescent="0.2">
      <c r="A59" s="290">
        <v>54</v>
      </c>
      <c r="B59" s="297" t="str">
        <f>IF('ACS escalators'!B61="","",'ACS escalators'!B61)</f>
        <v/>
      </c>
      <c r="C59" s="283" t="str">
        <f>IF('ACS escalators'!C61="","",'ACS escalators'!C61)</f>
        <v/>
      </c>
      <c r="D59" s="283" t="str">
        <f>IF('ACS escalators'!D61="","",'ACS escalators'!D61)</f>
        <v/>
      </c>
      <c r="E59" s="340"/>
      <c r="F59" s="293" t="str">
        <f>IF(E59="","",E59*(1+Input!$H$20)*(1-'ACS escalators'!E61)+'ACS escalators'!J61)</f>
        <v/>
      </c>
      <c r="G59" s="293" t="str">
        <f>IF(F59="","",F59*(1+Input!$H$21)*(1-'ACS escalators'!F61)+'ACS escalators'!K61)</f>
        <v/>
      </c>
      <c r="H59" s="293" t="str">
        <f>IF(G59="","",G59*(1+Input!$H$22)*(1-'ACS escalators'!G61)+'ACS escalators'!L61)</f>
        <v/>
      </c>
      <c r="I59" s="294" t="str">
        <f>IF(H59="","",H59*(1+Input!$H$23)*(1-'ACS escalators'!H61)+'ACS escalators'!M61)</f>
        <v/>
      </c>
      <c r="J59" s="283"/>
      <c r="K59" s="295" t="str">
        <f t="shared" si="3"/>
        <v/>
      </c>
      <c r="L59" s="296" t="str">
        <f t="shared" si="2"/>
        <v/>
      </c>
      <c r="M59" s="290">
        <v>33</v>
      </c>
      <c r="N59" s="297" t="str">
        <f>IF('ACS escalators'!O61="","",'ACS escalators'!O61)</f>
        <v/>
      </c>
      <c r="O59" s="283" t="str">
        <f>IF('ACS escalators'!P61="","",'ACS escalators'!P61)</f>
        <v/>
      </c>
      <c r="P59" s="283" t="str">
        <f>IF('ACS escalators'!Q61="","",'ACS escalators'!Q61)</f>
        <v/>
      </c>
      <c r="Q59" s="340"/>
      <c r="R59" s="293" t="str">
        <f>IF(Q59="","",Q59*(1+Input!$H$20)*(1-'ACS escalators'!R61))</f>
        <v/>
      </c>
      <c r="S59" s="293" t="str">
        <f>IF(R59="","",R59*(1+Input!$H$21)*(1-'ACS escalators'!S61))</f>
        <v/>
      </c>
      <c r="T59" s="293" t="str">
        <f>IF(S59="","",S59*(1+Input!$H$22)*(1-'ACS escalators'!T61))</f>
        <v/>
      </c>
      <c r="U59" s="294" t="str">
        <f>IF(T59="","",T59*(1+Input!$H$23)*(1-'ACS escalators'!U61))</f>
        <v/>
      </c>
      <c r="V59" s="283"/>
      <c r="W59" s="295" t="str">
        <f t="shared" si="4"/>
        <v/>
      </c>
      <c r="X59" s="296" t="str">
        <f t="shared" si="5"/>
        <v/>
      </c>
    </row>
    <row r="60" spans="1:24" ht="13.5" thickBot="1" x14ac:dyDescent="0.25">
      <c r="A60" s="290">
        <v>55</v>
      </c>
      <c r="B60" s="297" t="str">
        <f>IF('ACS escalators'!B62="","",'ACS escalators'!B62)</f>
        <v/>
      </c>
      <c r="C60" s="283" t="str">
        <f>IF('ACS escalators'!C62="","",'ACS escalators'!C62)</f>
        <v/>
      </c>
      <c r="D60" s="283" t="str">
        <f>IF('ACS escalators'!D62="","",'ACS escalators'!D62)</f>
        <v/>
      </c>
      <c r="E60" s="340"/>
      <c r="F60" s="293" t="str">
        <f>IF(E60="","",E60*(1+Input!$H$20)*(1-'ACS escalators'!E62)+'ACS escalators'!J62)</f>
        <v/>
      </c>
      <c r="G60" s="293" t="str">
        <f>IF(F60="","",F60*(1+Input!$H$21)*(1-'ACS escalators'!F62)+'ACS escalators'!K62)</f>
        <v/>
      </c>
      <c r="H60" s="293" t="str">
        <f>IF(G60="","",G60*(1+Input!$H$22)*(1-'ACS escalators'!G62)+'ACS escalators'!L62)</f>
        <v/>
      </c>
      <c r="I60" s="294" t="str">
        <f>IF(H60="","",H60*(1+Input!$H$23)*(1-'ACS escalators'!H62)+'ACS escalators'!M62)</f>
        <v/>
      </c>
      <c r="J60" s="283"/>
      <c r="K60" s="295" t="str">
        <f t="shared" si="3"/>
        <v/>
      </c>
      <c r="L60" s="296" t="str">
        <f t="shared" si="2"/>
        <v/>
      </c>
      <c r="M60" s="290">
        <v>34</v>
      </c>
      <c r="N60" s="298" t="str">
        <f>IF('ACS escalators'!O62="","",'ACS escalators'!O62)</f>
        <v/>
      </c>
      <c r="O60" s="284" t="str">
        <f>IF('ACS escalators'!P62="","",'ACS escalators'!P62)</f>
        <v/>
      </c>
      <c r="P60" s="284" t="str">
        <f>IF('ACS escalators'!Q62="","",'ACS escalators'!Q62)</f>
        <v/>
      </c>
      <c r="Q60" s="341"/>
      <c r="R60" s="299" t="str">
        <f>IF(Q60="","",Q60*(1+Input!$H$20)*(1-'ACS escalators'!R62))</f>
        <v/>
      </c>
      <c r="S60" s="299" t="str">
        <f>IF(R60="","",R60*(1+Input!$H$21)*(1-'ACS escalators'!S62))</f>
        <v/>
      </c>
      <c r="T60" s="299" t="str">
        <f>IF(S60="","",S60*(1+Input!$H$22)*(1-'ACS escalators'!T62))</f>
        <v/>
      </c>
      <c r="U60" s="300" t="str">
        <f>IF(T60="","",T60*(1+Input!$H$23)*(1-'ACS escalators'!U62))</f>
        <v/>
      </c>
      <c r="V60" s="284"/>
      <c r="W60" s="301" t="str">
        <f t="shared" si="4"/>
        <v/>
      </c>
      <c r="X60" s="302" t="str">
        <f t="shared" si="5"/>
        <v/>
      </c>
    </row>
    <row r="61" spans="1:24" x14ac:dyDescent="0.2">
      <c r="A61" s="290">
        <v>56</v>
      </c>
      <c r="B61" s="297" t="str">
        <f>IF('ACS escalators'!B63="","",'ACS escalators'!B63)</f>
        <v/>
      </c>
      <c r="C61" s="283" t="str">
        <f>IF('ACS escalators'!C63="","",'ACS escalators'!C63)</f>
        <v/>
      </c>
      <c r="D61" s="283" t="str">
        <f>IF('ACS escalators'!D63="","",'ACS escalators'!D63)</f>
        <v/>
      </c>
      <c r="E61" s="340"/>
      <c r="F61" s="293" t="str">
        <f>IF(E61="","",E61*(1+Input!$H$20)*(1-'ACS escalators'!E63)+'ACS escalators'!J63)</f>
        <v/>
      </c>
      <c r="G61" s="293" t="str">
        <f>IF(F61="","",F61*(1+Input!$H$21)*(1-'ACS escalators'!F63)+'ACS escalators'!K63)</f>
        <v/>
      </c>
      <c r="H61" s="293" t="str">
        <f>IF(G61="","",G61*(1+Input!$H$22)*(1-'ACS escalators'!G63)+'ACS escalators'!L63)</f>
        <v/>
      </c>
      <c r="I61" s="294" t="str">
        <f>IF(H61="","",H61*(1+Input!$H$23)*(1-'ACS escalators'!H63)+'ACS escalators'!M63)</f>
        <v/>
      </c>
      <c r="J61" s="283"/>
      <c r="K61" s="295" t="str">
        <f t="shared" si="3"/>
        <v/>
      </c>
      <c r="L61" s="296" t="str">
        <f t="shared" si="2"/>
        <v/>
      </c>
    </row>
    <row r="62" spans="1:24" x14ac:dyDescent="0.2">
      <c r="A62" s="290">
        <v>57</v>
      </c>
      <c r="B62" s="297" t="str">
        <f>IF('ACS escalators'!B64="","",'ACS escalators'!B64)</f>
        <v/>
      </c>
      <c r="C62" s="283" t="str">
        <f>IF('ACS escalators'!C64="","",'ACS escalators'!C64)</f>
        <v/>
      </c>
      <c r="D62" s="283" t="str">
        <f>IF('ACS escalators'!D64="","",'ACS escalators'!D64)</f>
        <v/>
      </c>
      <c r="E62" s="340"/>
      <c r="F62" s="293" t="str">
        <f>IF(E62="","",E62*(1+Input!$H$20)*(1-'ACS escalators'!E64)+'ACS escalators'!J64)</f>
        <v/>
      </c>
      <c r="G62" s="293" t="str">
        <f>IF(F62="","",F62*(1+Input!$H$21)*(1-'ACS escalators'!F64)+'ACS escalators'!K64)</f>
        <v/>
      </c>
      <c r="H62" s="293" t="str">
        <f>IF(G62="","",G62*(1+Input!$H$22)*(1-'ACS escalators'!G64)+'ACS escalators'!L64)</f>
        <v/>
      </c>
      <c r="I62" s="294" t="str">
        <f>IF(H62="","",H62*(1+Input!$H$23)*(1-'ACS escalators'!H64)+'ACS escalators'!M64)</f>
        <v/>
      </c>
      <c r="J62" s="283"/>
      <c r="K62" s="295" t="str">
        <f t="shared" si="3"/>
        <v/>
      </c>
      <c r="L62" s="296" t="str">
        <f t="shared" si="2"/>
        <v/>
      </c>
    </row>
    <row r="63" spans="1:24" x14ac:dyDescent="0.2">
      <c r="A63" s="290">
        <v>58</v>
      </c>
      <c r="B63" s="297" t="str">
        <f>IF('ACS escalators'!B65="","",'ACS escalators'!B65)</f>
        <v/>
      </c>
      <c r="C63" s="283" t="str">
        <f>IF('ACS escalators'!C65="","",'ACS escalators'!C65)</f>
        <v/>
      </c>
      <c r="D63" s="283" t="str">
        <f>IF('ACS escalators'!D65="","",'ACS escalators'!D65)</f>
        <v/>
      </c>
      <c r="E63" s="340"/>
      <c r="F63" s="293" t="str">
        <f>IF(E63="","",E63*(1+Input!$H$20)*(1-'ACS escalators'!E65)+'ACS escalators'!J65)</f>
        <v/>
      </c>
      <c r="G63" s="293" t="str">
        <f>IF(F63="","",F63*(1+Input!$H$21)*(1-'ACS escalators'!F65)+'ACS escalators'!K65)</f>
        <v/>
      </c>
      <c r="H63" s="293" t="str">
        <f>IF(G63="","",G63*(1+Input!$H$22)*(1-'ACS escalators'!G65)+'ACS escalators'!L65)</f>
        <v/>
      </c>
      <c r="I63" s="294" t="str">
        <f>IF(H63="","",H63*(1+Input!$H$23)*(1-'ACS escalators'!H65)+'ACS escalators'!M65)</f>
        <v/>
      </c>
      <c r="J63" s="283"/>
      <c r="K63" s="295" t="str">
        <f t="shared" si="3"/>
        <v/>
      </c>
      <c r="L63" s="296" t="str">
        <f t="shared" si="2"/>
        <v/>
      </c>
    </row>
    <row r="64" spans="1:24" x14ac:dyDescent="0.2">
      <c r="A64" s="290">
        <v>59</v>
      </c>
      <c r="B64" s="297" t="str">
        <f>IF('ACS escalators'!B66="","",'ACS escalators'!B66)</f>
        <v/>
      </c>
      <c r="C64" s="283" t="str">
        <f>IF('ACS escalators'!C66="","",'ACS escalators'!C66)</f>
        <v/>
      </c>
      <c r="D64" s="283" t="str">
        <f>IF('ACS escalators'!D66="","",'ACS escalators'!D66)</f>
        <v/>
      </c>
      <c r="E64" s="340"/>
      <c r="F64" s="293" t="str">
        <f>IF(E64="","",E64*(1+Input!$H$20)*(1-'ACS escalators'!E66)+'ACS escalators'!J66)</f>
        <v/>
      </c>
      <c r="G64" s="293" t="str">
        <f>IF(F64="","",F64*(1+Input!$H$21)*(1-'ACS escalators'!F66)+'ACS escalators'!K66)</f>
        <v/>
      </c>
      <c r="H64" s="293" t="str">
        <f>IF(G64="","",G64*(1+Input!$H$22)*(1-'ACS escalators'!G66)+'ACS escalators'!L66)</f>
        <v/>
      </c>
      <c r="I64" s="294" t="str">
        <f>IF(H64="","",H64*(1+Input!$H$23)*(1-'ACS escalators'!H66)+'ACS escalators'!M66)</f>
        <v/>
      </c>
      <c r="J64" s="283"/>
      <c r="K64" s="295" t="str">
        <f t="shared" si="3"/>
        <v/>
      </c>
      <c r="L64" s="296" t="str">
        <f t="shared" si="2"/>
        <v/>
      </c>
    </row>
    <row r="65" spans="1:12" x14ac:dyDescent="0.2">
      <c r="A65" s="290">
        <v>60</v>
      </c>
      <c r="B65" s="297" t="str">
        <f>IF('ACS escalators'!B67="","",'ACS escalators'!B67)</f>
        <v/>
      </c>
      <c r="C65" s="283" t="str">
        <f>IF('ACS escalators'!C67="","",'ACS escalators'!C67)</f>
        <v/>
      </c>
      <c r="D65" s="283" t="str">
        <f>IF('ACS escalators'!D67="","",'ACS escalators'!D67)</f>
        <v/>
      </c>
      <c r="E65" s="340"/>
      <c r="F65" s="293" t="str">
        <f>IF(E65="","",E65*(1+Input!$H$20)*(1-'ACS escalators'!E67)+'ACS escalators'!J67)</f>
        <v/>
      </c>
      <c r="G65" s="293" t="str">
        <f>IF(F65="","",F65*(1+Input!$H$21)*(1-'ACS escalators'!F67)+'ACS escalators'!K67)</f>
        <v/>
      </c>
      <c r="H65" s="293" t="str">
        <f>IF(G65="","",G65*(1+Input!$H$22)*(1-'ACS escalators'!G67)+'ACS escalators'!L67)</f>
        <v/>
      </c>
      <c r="I65" s="294" t="str">
        <f>IF(H65="","",H65*(1+Input!$H$23)*(1-'ACS escalators'!H67)+'ACS escalators'!M67)</f>
        <v/>
      </c>
      <c r="J65" s="283"/>
      <c r="K65" s="295" t="str">
        <f t="shared" si="3"/>
        <v/>
      </c>
      <c r="L65" s="296" t="str">
        <f t="shared" si="2"/>
        <v/>
      </c>
    </row>
    <row r="66" spans="1:12" x14ac:dyDescent="0.2">
      <c r="A66" s="290">
        <v>61</v>
      </c>
      <c r="B66" s="297" t="str">
        <f>IF('ACS escalators'!B68="","",'ACS escalators'!B68)</f>
        <v/>
      </c>
      <c r="C66" s="283" t="str">
        <f>IF('ACS escalators'!C68="","",'ACS escalators'!C68)</f>
        <v/>
      </c>
      <c r="D66" s="283" t="str">
        <f>IF('ACS escalators'!D68="","",'ACS escalators'!D68)</f>
        <v/>
      </c>
      <c r="E66" s="340"/>
      <c r="F66" s="293" t="str">
        <f>IF(E66="","",E66*(1+Input!$H$20)*(1-'ACS escalators'!E68)+'ACS escalators'!J68)</f>
        <v/>
      </c>
      <c r="G66" s="293" t="str">
        <f>IF(F66="","",F66*(1+Input!$H$21)*(1-'ACS escalators'!F68)+'ACS escalators'!K68)</f>
        <v/>
      </c>
      <c r="H66" s="293" t="str">
        <f>IF(G66="","",G66*(1+Input!$H$22)*(1-'ACS escalators'!G68)+'ACS escalators'!L68)</f>
        <v/>
      </c>
      <c r="I66" s="294" t="str">
        <f>IF(H66="","",H66*(1+Input!$H$23)*(1-'ACS escalators'!H68)+'ACS escalators'!M68)</f>
        <v/>
      </c>
      <c r="J66" s="283"/>
      <c r="K66" s="295" t="str">
        <f t="shared" si="3"/>
        <v/>
      </c>
      <c r="L66" s="296" t="str">
        <f t="shared" si="2"/>
        <v/>
      </c>
    </row>
    <row r="67" spans="1:12" x14ac:dyDescent="0.2">
      <c r="A67" s="290">
        <v>62</v>
      </c>
      <c r="B67" s="297" t="str">
        <f>IF('ACS escalators'!B69="","",'ACS escalators'!B69)</f>
        <v/>
      </c>
      <c r="C67" s="283" t="str">
        <f>IF('ACS escalators'!C69="","",'ACS escalators'!C69)</f>
        <v/>
      </c>
      <c r="D67" s="283" t="str">
        <f>IF('ACS escalators'!D69="","",'ACS escalators'!D69)</f>
        <v/>
      </c>
      <c r="E67" s="340"/>
      <c r="F67" s="293" t="str">
        <f>IF(E67="","",E67*(1+Input!$H$20)*(1-'ACS escalators'!E69)+'ACS escalators'!J69)</f>
        <v/>
      </c>
      <c r="G67" s="293" t="str">
        <f>IF(F67="","",F67*(1+Input!$H$21)*(1-'ACS escalators'!F69)+'ACS escalators'!K69)</f>
        <v/>
      </c>
      <c r="H67" s="293" t="str">
        <f>IF(G67="","",G67*(1+Input!$H$22)*(1-'ACS escalators'!G69)+'ACS escalators'!L69)</f>
        <v/>
      </c>
      <c r="I67" s="294" t="str">
        <f>IF(H67="","",H67*(1+Input!$H$23)*(1-'ACS escalators'!H69)+'ACS escalators'!M69)</f>
        <v/>
      </c>
      <c r="J67" s="283"/>
      <c r="K67" s="295" t="str">
        <f t="shared" si="3"/>
        <v/>
      </c>
      <c r="L67" s="296" t="str">
        <f t="shared" si="2"/>
        <v/>
      </c>
    </row>
    <row r="68" spans="1:12" x14ac:dyDescent="0.2">
      <c r="A68" s="290">
        <v>63</v>
      </c>
      <c r="B68" s="297" t="str">
        <f>IF('ACS escalators'!B70="","",'ACS escalators'!B70)</f>
        <v/>
      </c>
      <c r="C68" s="283" t="str">
        <f>IF('ACS escalators'!C70="","",'ACS escalators'!C70)</f>
        <v/>
      </c>
      <c r="D68" s="283" t="str">
        <f>IF('ACS escalators'!D70="","",'ACS escalators'!D70)</f>
        <v/>
      </c>
      <c r="E68" s="340"/>
      <c r="F68" s="293" t="str">
        <f>IF(E68="","",E68*(1+Input!$H$20)*(1-'ACS escalators'!E70)+'ACS escalators'!J70)</f>
        <v/>
      </c>
      <c r="G68" s="293" t="str">
        <f>IF(F68="","",F68*(1+Input!$H$21)*(1-'ACS escalators'!F70)+'ACS escalators'!K70)</f>
        <v/>
      </c>
      <c r="H68" s="293" t="str">
        <f>IF(G68="","",G68*(1+Input!$H$22)*(1-'ACS escalators'!G70)+'ACS escalators'!L70)</f>
        <v/>
      </c>
      <c r="I68" s="294" t="str">
        <f>IF(H68="","",H68*(1+Input!$H$23)*(1-'ACS escalators'!H70)+'ACS escalators'!M70)</f>
        <v/>
      </c>
      <c r="J68" s="283"/>
      <c r="K68" s="295" t="str">
        <f t="shared" si="3"/>
        <v/>
      </c>
      <c r="L68" s="296" t="str">
        <f t="shared" si="2"/>
        <v/>
      </c>
    </row>
    <row r="69" spans="1:12" x14ac:dyDescent="0.2">
      <c r="A69" s="290">
        <v>64</v>
      </c>
      <c r="B69" s="297" t="str">
        <f>IF('ACS escalators'!B71="","",'ACS escalators'!B71)</f>
        <v/>
      </c>
      <c r="C69" s="283" t="str">
        <f>IF('ACS escalators'!C71="","",'ACS escalators'!C71)</f>
        <v/>
      </c>
      <c r="D69" s="283" t="str">
        <f>IF('ACS escalators'!D71="","",'ACS escalators'!D71)</f>
        <v/>
      </c>
      <c r="E69" s="340"/>
      <c r="F69" s="293" t="str">
        <f>IF(E69="","",E69*(1+Input!$H$20)*(1-'ACS escalators'!E71)+'ACS escalators'!J71)</f>
        <v/>
      </c>
      <c r="G69" s="293" t="str">
        <f>IF(F69="","",F69*(1+Input!$H$21)*(1-'ACS escalators'!F71)+'ACS escalators'!K71)</f>
        <v/>
      </c>
      <c r="H69" s="293" t="str">
        <f>IF(G69="","",G69*(1+Input!$H$22)*(1-'ACS escalators'!G71)+'ACS escalators'!L71)</f>
        <v/>
      </c>
      <c r="I69" s="294" t="str">
        <f>IF(H69="","",H69*(1+Input!$H$23)*(1-'ACS escalators'!H71)+'ACS escalators'!M71)</f>
        <v/>
      </c>
      <c r="J69" s="283"/>
      <c r="K69" s="295" t="str">
        <f t="shared" si="3"/>
        <v/>
      </c>
      <c r="L69" s="296" t="str">
        <f t="shared" si="2"/>
        <v/>
      </c>
    </row>
    <row r="70" spans="1:12" x14ac:dyDescent="0.2">
      <c r="A70" s="290">
        <v>65</v>
      </c>
      <c r="B70" s="297" t="str">
        <f>IF('ACS escalators'!B72="","",'ACS escalators'!B72)</f>
        <v/>
      </c>
      <c r="C70" s="283" t="str">
        <f>IF('ACS escalators'!C72="","",'ACS escalators'!C72)</f>
        <v/>
      </c>
      <c r="D70" s="283" t="str">
        <f>IF('ACS escalators'!D72="","",'ACS escalators'!D72)</f>
        <v/>
      </c>
      <c r="E70" s="340"/>
      <c r="F70" s="293" t="str">
        <f>IF(E70="","",E70*(1+Input!$H$20)*(1-'ACS escalators'!E72)+'ACS escalators'!J72)</f>
        <v/>
      </c>
      <c r="G70" s="293" t="str">
        <f>IF(F70="","",F70*(1+Input!$H$21)*(1-'ACS escalators'!F72)+'ACS escalators'!K72)</f>
        <v/>
      </c>
      <c r="H70" s="293" t="str">
        <f>IF(G70="","",G70*(1+Input!$H$22)*(1-'ACS escalators'!G72)+'ACS escalators'!L72)</f>
        <v/>
      </c>
      <c r="I70" s="294" t="str">
        <f>IF(H70="","",H70*(1+Input!$H$23)*(1-'ACS escalators'!H72)+'ACS escalators'!M72)</f>
        <v/>
      </c>
      <c r="J70" s="283"/>
      <c r="K70" s="295" t="str">
        <f t="shared" si="3"/>
        <v/>
      </c>
      <c r="L70" s="296" t="str">
        <f t="shared" si="2"/>
        <v/>
      </c>
    </row>
    <row r="71" spans="1:12" x14ac:dyDescent="0.2">
      <c r="A71" s="290">
        <v>66</v>
      </c>
      <c r="B71" s="297" t="str">
        <f>IF('ACS escalators'!B73="","",'ACS escalators'!B73)</f>
        <v/>
      </c>
      <c r="C71" s="283" t="str">
        <f>IF('ACS escalators'!C73="","",'ACS escalators'!C73)</f>
        <v/>
      </c>
      <c r="D71" s="283" t="str">
        <f>IF('ACS escalators'!D73="","",'ACS escalators'!D73)</f>
        <v/>
      </c>
      <c r="E71" s="340"/>
      <c r="F71" s="293" t="str">
        <f>IF(E71="","",E71*(1+Input!$H$20)*(1-'ACS escalators'!E73)+'ACS escalators'!J73)</f>
        <v/>
      </c>
      <c r="G71" s="293" t="str">
        <f>IF(F71="","",F71*(1+Input!$H$21)*(1-'ACS escalators'!F73)+'ACS escalators'!K73)</f>
        <v/>
      </c>
      <c r="H71" s="293" t="str">
        <f>IF(G71="","",G71*(1+Input!$H$22)*(1-'ACS escalators'!G73)+'ACS escalators'!L73)</f>
        <v/>
      </c>
      <c r="I71" s="294" t="str">
        <f>IF(H71="","",H71*(1+Input!$H$23)*(1-'ACS escalators'!H73)+'ACS escalators'!M73)</f>
        <v/>
      </c>
      <c r="J71" s="283"/>
      <c r="K71" s="295" t="str">
        <f t="shared" si="3"/>
        <v/>
      </c>
      <c r="L71" s="296" t="str">
        <f t="shared" ref="L71:L100" si="6">IF(K71="","",IF(K71&lt;=ROUND(INDEX($E$6:$I$100,MATCH(A71,$A$6:$A$100,0),MATCH($K$5,$E$5:$I$5,0)),2),"YES", "NO"))</f>
        <v/>
      </c>
    </row>
    <row r="72" spans="1:12" x14ac:dyDescent="0.2">
      <c r="A72" s="290">
        <v>67</v>
      </c>
      <c r="B72" s="297" t="str">
        <f>IF('ACS escalators'!B74="","",'ACS escalators'!B74)</f>
        <v/>
      </c>
      <c r="C72" s="283" t="str">
        <f>IF('ACS escalators'!C74="","",'ACS escalators'!C74)</f>
        <v/>
      </c>
      <c r="D72" s="283" t="str">
        <f>IF('ACS escalators'!D74="","",'ACS escalators'!D74)</f>
        <v/>
      </c>
      <c r="E72" s="340"/>
      <c r="F72" s="293" t="str">
        <f>IF(E72="","",E72*(1+Input!$H$20)*(1-'ACS escalators'!E74)+'ACS escalators'!J74)</f>
        <v/>
      </c>
      <c r="G72" s="293" t="str">
        <f>IF(F72="","",F72*(1+Input!$H$21)*(1-'ACS escalators'!F74)+'ACS escalators'!K74)</f>
        <v/>
      </c>
      <c r="H72" s="293" t="str">
        <f>IF(G72="","",G72*(1+Input!$H$22)*(1-'ACS escalators'!G74)+'ACS escalators'!L74)</f>
        <v/>
      </c>
      <c r="I72" s="294" t="str">
        <f>IF(H72="","",H72*(1+Input!$H$23)*(1-'ACS escalators'!H74)+'ACS escalators'!M74)</f>
        <v/>
      </c>
      <c r="J72" s="283"/>
      <c r="K72" s="295" t="str">
        <f t="shared" ref="K72:K100" si="7">IF(INDEX($E$6:$I$100,MATCH(A72,$A$6:$A$100,0),MATCH($K$5,$E$5:$I$5,0))="","",ROUND(INDEX($E$6:$I$100,MATCH(A72,$A$6:$A$100,0),MATCH($K$5,$E$5:$I$5,0)),2))</f>
        <v/>
      </c>
      <c r="L72" s="296" t="str">
        <f t="shared" si="6"/>
        <v/>
      </c>
    </row>
    <row r="73" spans="1:12" x14ac:dyDescent="0.2">
      <c r="A73" s="290">
        <v>68</v>
      </c>
      <c r="B73" s="297" t="str">
        <f>IF('ACS escalators'!B75="","",'ACS escalators'!B75)</f>
        <v/>
      </c>
      <c r="C73" s="283" t="str">
        <f>IF('ACS escalators'!C75="","",'ACS escalators'!C75)</f>
        <v/>
      </c>
      <c r="D73" s="283" t="str">
        <f>IF('ACS escalators'!D75="","",'ACS escalators'!D75)</f>
        <v/>
      </c>
      <c r="E73" s="340"/>
      <c r="F73" s="293" t="str">
        <f>IF(E73="","",E73*(1+Input!$H$20)*(1-'ACS escalators'!E75)+'ACS escalators'!J75)</f>
        <v/>
      </c>
      <c r="G73" s="293" t="str">
        <f>IF(F73="","",F73*(1+Input!$H$21)*(1-'ACS escalators'!F75)+'ACS escalators'!K75)</f>
        <v/>
      </c>
      <c r="H73" s="293" t="str">
        <f>IF(G73="","",G73*(1+Input!$H$22)*(1-'ACS escalators'!G75)+'ACS escalators'!L75)</f>
        <v/>
      </c>
      <c r="I73" s="294" t="str">
        <f>IF(H73="","",H73*(1+Input!$H$23)*(1-'ACS escalators'!H75)+'ACS escalators'!M75)</f>
        <v/>
      </c>
      <c r="J73" s="283"/>
      <c r="K73" s="295" t="str">
        <f t="shared" si="7"/>
        <v/>
      </c>
      <c r="L73" s="296" t="str">
        <f t="shared" si="6"/>
        <v/>
      </c>
    </row>
    <row r="74" spans="1:12" x14ac:dyDescent="0.2">
      <c r="A74" s="290">
        <v>69</v>
      </c>
      <c r="B74" s="297" t="str">
        <f>IF('ACS escalators'!B76="","",'ACS escalators'!B76)</f>
        <v/>
      </c>
      <c r="C74" s="283" t="str">
        <f>IF('ACS escalators'!C76="","",'ACS escalators'!C76)</f>
        <v/>
      </c>
      <c r="D74" s="283" t="str">
        <f>IF('ACS escalators'!D76="","",'ACS escalators'!D76)</f>
        <v/>
      </c>
      <c r="E74" s="340"/>
      <c r="F74" s="293" t="str">
        <f>IF(E74="","",E74*(1+Input!$H$20)*(1-'ACS escalators'!E76)+'ACS escalators'!J76)</f>
        <v/>
      </c>
      <c r="G74" s="293" t="str">
        <f>IF(F74="","",F74*(1+Input!$H$21)*(1-'ACS escalators'!F76)+'ACS escalators'!K76)</f>
        <v/>
      </c>
      <c r="H74" s="293" t="str">
        <f>IF(G74="","",G74*(1+Input!$H$22)*(1-'ACS escalators'!G76)+'ACS escalators'!L76)</f>
        <v/>
      </c>
      <c r="I74" s="294" t="str">
        <f>IF(H74="","",H74*(1+Input!$H$23)*(1-'ACS escalators'!H76)+'ACS escalators'!M76)</f>
        <v/>
      </c>
      <c r="J74" s="283"/>
      <c r="K74" s="295" t="str">
        <f t="shared" si="7"/>
        <v/>
      </c>
      <c r="L74" s="296" t="str">
        <f t="shared" si="6"/>
        <v/>
      </c>
    </row>
    <row r="75" spans="1:12" x14ac:dyDescent="0.2">
      <c r="A75" s="290">
        <v>70</v>
      </c>
      <c r="B75" s="297" t="str">
        <f>IF('ACS escalators'!B77="","",'ACS escalators'!B77)</f>
        <v/>
      </c>
      <c r="C75" s="283" t="str">
        <f>IF('ACS escalators'!C77="","",'ACS escalators'!C77)</f>
        <v/>
      </c>
      <c r="D75" s="283" t="str">
        <f>IF('ACS escalators'!D77="","",'ACS escalators'!D77)</f>
        <v/>
      </c>
      <c r="E75" s="340"/>
      <c r="F75" s="293" t="str">
        <f>IF(E75="","",E75*(1+Input!$H$20)*(1-'ACS escalators'!E77)+'ACS escalators'!J77)</f>
        <v/>
      </c>
      <c r="G75" s="293" t="str">
        <f>IF(F75="","",F75*(1+Input!$H$21)*(1-'ACS escalators'!F77)+'ACS escalators'!K77)</f>
        <v/>
      </c>
      <c r="H75" s="293" t="str">
        <f>IF(G75="","",G75*(1+Input!$H$22)*(1-'ACS escalators'!G77)+'ACS escalators'!L77)</f>
        <v/>
      </c>
      <c r="I75" s="294" t="str">
        <f>IF(H75="","",H75*(1+Input!$H$23)*(1-'ACS escalators'!H77)+'ACS escalators'!M77)</f>
        <v/>
      </c>
      <c r="J75" s="283"/>
      <c r="K75" s="295" t="str">
        <f t="shared" si="7"/>
        <v/>
      </c>
      <c r="L75" s="296" t="str">
        <f t="shared" si="6"/>
        <v/>
      </c>
    </row>
    <row r="76" spans="1:12" x14ac:dyDescent="0.2">
      <c r="A76" s="290">
        <v>71</v>
      </c>
      <c r="B76" s="297" t="str">
        <f>IF('ACS escalators'!B78="","",'ACS escalators'!B78)</f>
        <v/>
      </c>
      <c r="C76" s="283" t="str">
        <f>IF('ACS escalators'!C78="","",'ACS escalators'!C78)</f>
        <v/>
      </c>
      <c r="D76" s="283" t="str">
        <f>IF('ACS escalators'!D78="","",'ACS escalators'!D78)</f>
        <v/>
      </c>
      <c r="E76" s="340"/>
      <c r="F76" s="293" t="str">
        <f>IF(E76="","",E76*(1+Input!$H$20)*(1-'ACS escalators'!E78)+'ACS escalators'!J78)</f>
        <v/>
      </c>
      <c r="G76" s="293" t="str">
        <f>IF(F76="","",F76*(1+Input!$H$21)*(1-'ACS escalators'!F78)+'ACS escalators'!K78)</f>
        <v/>
      </c>
      <c r="H76" s="293" t="str">
        <f>IF(G76="","",G76*(1+Input!$H$22)*(1-'ACS escalators'!G78)+'ACS escalators'!L78)</f>
        <v/>
      </c>
      <c r="I76" s="294" t="str">
        <f>IF(H76="","",H76*(1+Input!$H$23)*(1-'ACS escalators'!H78)+'ACS escalators'!M78)</f>
        <v/>
      </c>
      <c r="J76" s="283"/>
      <c r="K76" s="295" t="str">
        <f t="shared" si="7"/>
        <v/>
      </c>
      <c r="L76" s="296" t="str">
        <f t="shared" si="6"/>
        <v/>
      </c>
    </row>
    <row r="77" spans="1:12" x14ac:dyDescent="0.2">
      <c r="A77" s="290">
        <v>72</v>
      </c>
      <c r="B77" s="297" t="str">
        <f>IF('ACS escalators'!B79="","",'ACS escalators'!B79)</f>
        <v/>
      </c>
      <c r="C77" s="283" t="str">
        <f>IF('ACS escalators'!C79="","",'ACS escalators'!C79)</f>
        <v/>
      </c>
      <c r="D77" s="283" t="str">
        <f>IF('ACS escalators'!D79="","",'ACS escalators'!D79)</f>
        <v/>
      </c>
      <c r="E77" s="340"/>
      <c r="F77" s="293" t="str">
        <f>IF(E77="","",E77*(1+Input!$H$20)*(1-'ACS escalators'!E79)+'ACS escalators'!J79)</f>
        <v/>
      </c>
      <c r="G77" s="293" t="str">
        <f>IF(F77="","",F77*(1+Input!$H$21)*(1-'ACS escalators'!F79)+'ACS escalators'!K79)</f>
        <v/>
      </c>
      <c r="H77" s="293" t="str">
        <f>IF(G77="","",G77*(1+Input!$H$22)*(1-'ACS escalators'!G79)+'ACS escalators'!L79)</f>
        <v/>
      </c>
      <c r="I77" s="294" t="str">
        <f>IF(H77="","",H77*(1+Input!$H$23)*(1-'ACS escalators'!H79)+'ACS escalators'!M79)</f>
        <v/>
      </c>
      <c r="J77" s="283"/>
      <c r="K77" s="295" t="str">
        <f t="shared" si="7"/>
        <v/>
      </c>
      <c r="L77" s="296" t="str">
        <f t="shared" si="6"/>
        <v/>
      </c>
    </row>
    <row r="78" spans="1:12" x14ac:dyDescent="0.2">
      <c r="A78" s="290">
        <v>73</v>
      </c>
      <c r="B78" s="297" t="str">
        <f>IF('ACS escalators'!B80="","",'ACS escalators'!B80)</f>
        <v/>
      </c>
      <c r="C78" s="283" t="str">
        <f>IF('ACS escalators'!C80="","",'ACS escalators'!C80)</f>
        <v/>
      </c>
      <c r="D78" s="283" t="str">
        <f>IF('ACS escalators'!D80="","",'ACS escalators'!D80)</f>
        <v/>
      </c>
      <c r="E78" s="340"/>
      <c r="F78" s="293" t="str">
        <f>IF(E78="","",E78*(1+Input!$H$20)*(1-'ACS escalators'!E80)+'ACS escalators'!J80)</f>
        <v/>
      </c>
      <c r="G78" s="293" t="str">
        <f>IF(F78="","",F78*(1+Input!$H$21)*(1-'ACS escalators'!F80)+'ACS escalators'!K80)</f>
        <v/>
      </c>
      <c r="H78" s="293" t="str">
        <f>IF(G78="","",G78*(1+Input!$H$22)*(1-'ACS escalators'!G80)+'ACS escalators'!L80)</f>
        <v/>
      </c>
      <c r="I78" s="294" t="str">
        <f>IF(H78="","",H78*(1+Input!$H$23)*(1-'ACS escalators'!H80)+'ACS escalators'!M80)</f>
        <v/>
      </c>
      <c r="J78" s="283"/>
      <c r="K78" s="295" t="str">
        <f t="shared" si="7"/>
        <v/>
      </c>
      <c r="L78" s="296" t="str">
        <f t="shared" si="6"/>
        <v/>
      </c>
    </row>
    <row r="79" spans="1:12" x14ac:dyDescent="0.2">
      <c r="A79" s="290">
        <v>74</v>
      </c>
      <c r="B79" s="297" t="str">
        <f>IF('ACS escalators'!B81="","",'ACS escalators'!B81)</f>
        <v/>
      </c>
      <c r="C79" s="283" t="str">
        <f>IF('ACS escalators'!C81="","",'ACS escalators'!C81)</f>
        <v/>
      </c>
      <c r="D79" s="283" t="str">
        <f>IF('ACS escalators'!D81="","",'ACS escalators'!D81)</f>
        <v/>
      </c>
      <c r="E79" s="340"/>
      <c r="F79" s="293" t="str">
        <f>IF(E79="","",E79*(1+Input!$H$20)*(1-'ACS escalators'!E81)+'ACS escalators'!J81)</f>
        <v/>
      </c>
      <c r="G79" s="293" t="str">
        <f>IF(F79="","",F79*(1+Input!$H$21)*(1-'ACS escalators'!F81)+'ACS escalators'!K81)</f>
        <v/>
      </c>
      <c r="H79" s="293" t="str">
        <f>IF(G79="","",G79*(1+Input!$H$22)*(1-'ACS escalators'!G81)+'ACS escalators'!L81)</f>
        <v/>
      </c>
      <c r="I79" s="294" t="str">
        <f>IF(H79="","",H79*(1+Input!$H$23)*(1-'ACS escalators'!H81)+'ACS escalators'!M81)</f>
        <v/>
      </c>
      <c r="J79" s="283"/>
      <c r="K79" s="295" t="str">
        <f t="shared" si="7"/>
        <v/>
      </c>
      <c r="L79" s="296" t="str">
        <f t="shared" si="6"/>
        <v/>
      </c>
    </row>
    <row r="80" spans="1:12" x14ac:dyDescent="0.2">
      <c r="A80" s="290">
        <v>75</v>
      </c>
      <c r="B80" s="297" t="str">
        <f>IF('ACS escalators'!B82="","",'ACS escalators'!B82)</f>
        <v/>
      </c>
      <c r="C80" s="283" t="str">
        <f>IF('ACS escalators'!C82="","",'ACS escalators'!C82)</f>
        <v/>
      </c>
      <c r="D80" s="283" t="str">
        <f>IF('ACS escalators'!D82="","",'ACS escalators'!D82)</f>
        <v/>
      </c>
      <c r="E80" s="340"/>
      <c r="F80" s="293" t="str">
        <f>IF(E80="","",E80*(1+Input!$H$20)*(1-'ACS escalators'!E82)+'ACS escalators'!J82)</f>
        <v/>
      </c>
      <c r="G80" s="293" t="str">
        <f>IF(F80="","",F80*(1+Input!$H$21)*(1-'ACS escalators'!F82)+'ACS escalators'!K82)</f>
        <v/>
      </c>
      <c r="H80" s="293" t="str">
        <f>IF(G80="","",G80*(1+Input!$H$22)*(1-'ACS escalators'!G82)+'ACS escalators'!L82)</f>
        <v/>
      </c>
      <c r="I80" s="294" t="str">
        <f>IF(H80="","",H80*(1+Input!$H$23)*(1-'ACS escalators'!H82)+'ACS escalators'!M82)</f>
        <v/>
      </c>
      <c r="J80" s="283"/>
      <c r="K80" s="295" t="str">
        <f t="shared" si="7"/>
        <v/>
      </c>
      <c r="L80" s="296" t="str">
        <f t="shared" si="6"/>
        <v/>
      </c>
    </row>
    <row r="81" spans="1:12" x14ac:dyDescent="0.2">
      <c r="A81" s="290">
        <v>76</v>
      </c>
      <c r="B81" s="297" t="str">
        <f>IF('ACS escalators'!B83="","",'ACS escalators'!B83)</f>
        <v/>
      </c>
      <c r="C81" s="283" t="str">
        <f>IF('ACS escalators'!C83="","",'ACS escalators'!C83)</f>
        <v/>
      </c>
      <c r="D81" s="283" t="str">
        <f>IF('ACS escalators'!D83="","",'ACS escalators'!D83)</f>
        <v/>
      </c>
      <c r="E81" s="340"/>
      <c r="F81" s="293" t="str">
        <f>IF(E81="","",E81*(1+Input!$H$20)*(1-'ACS escalators'!E83)+'ACS escalators'!J83)</f>
        <v/>
      </c>
      <c r="G81" s="293" t="str">
        <f>IF(F81="","",F81*(1+Input!$H$21)*(1-'ACS escalators'!F83)+'ACS escalators'!K83)</f>
        <v/>
      </c>
      <c r="H81" s="293" t="str">
        <f>IF(G81="","",G81*(1+Input!$H$22)*(1-'ACS escalators'!G83)+'ACS escalators'!L83)</f>
        <v/>
      </c>
      <c r="I81" s="294" t="str">
        <f>IF(H81="","",H81*(1+Input!$H$23)*(1-'ACS escalators'!H83)+'ACS escalators'!M83)</f>
        <v/>
      </c>
      <c r="J81" s="283"/>
      <c r="K81" s="295" t="str">
        <f t="shared" si="7"/>
        <v/>
      </c>
      <c r="L81" s="296" t="str">
        <f t="shared" si="6"/>
        <v/>
      </c>
    </row>
    <row r="82" spans="1:12" x14ac:dyDescent="0.2">
      <c r="A82" s="290">
        <v>77</v>
      </c>
      <c r="B82" s="297" t="str">
        <f>IF('ACS escalators'!B84="","",'ACS escalators'!B84)</f>
        <v/>
      </c>
      <c r="C82" s="283" t="str">
        <f>IF('ACS escalators'!C84="","",'ACS escalators'!C84)</f>
        <v/>
      </c>
      <c r="D82" s="283" t="str">
        <f>IF('ACS escalators'!D84="","",'ACS escalators'!D84)</f>
        <v/>
      </c>
      <c r="E82" s="340"/>
      <c r="F82" s="293" t="str">
        <f>IF(E82="","",E82*(1+Input!$H$20)*(1-'ACS escalators'!E84)+'ACS escalators'!J84)</f>
        <v/>
      </c>
      <c r="G82" s="293" t="str">
        <f>IF(F82="","",F82*(1+Input!$H$21)*(1-'ACS escalators'!F84)+'ACS escalators'!K84)</f>
        <v/>
      </c>
      <c r="H82" s="293" t="str">
        <f>IF(G82="","",G82*(1+Input!$H$22)*(1-'ACS escalators'!G84)+'ACS escalators'!L84)</f>
        <v/>
      </c>
      <c r="I82" s="294" t="str">
        <f>IF(H82="","",H82*(1+Input!$H$23)*(1-'ACS escalators'!H84)+'ACS escalators'!M84)</f>
        <v/>
      </c>
      <c r="J82" s="283"/>
      <c r="K82" s="295" t="str">
        <f t="shared" si="7"/>
        <v/>
      </c>
      <c r="L82" s="296" t="str">
        <f t="shared" si="6"/>
        <v/>
      </c>
    </row>
    <row r="83" spans="1:12" x14ac:dyDescent="0.2">
      <c r="A83" s="290">
        <v>78</v>
      </c>
      <c r="B83" s="297" t="str">
        <f>IF('ACS escalators'!B85="","",'ACS escalators'!B85)</f>
        <v/>
      </c>
      <c r="C83" s="283" t="str">
        <f>IF('ACS escalators'!C85="","",'ACS escalators'!C85)</f>
        <v/>
      </c>
      <c r="D83" s="283" t="str">
        <f>IF('ACS escalators'!D85="","",'ACS escalators'!D85)</f>
        <v/>
      </c>
      <c r="E83" s="340"/>
      <c r="F83" s="293" t="str">
        <f>IF(E83="","",E83*(1+Input!$H$20)*(1-'ACS escalators'!E85)+'ACS escalators'!J85)</f>
        <v/>
      </c>
      <c r="G83" s="293" t="str">
        <f>IF(F83="","",F83*(1+Input!$H$21)*(1-'ACS escalators'!F85)+'ACS escalators'!K85)</f>
        <v/>
      </c>
      <c r="H83" s="293" t="str">
        <f>IF(G83="","",G83*(1+Input!$H$22)*(1-'ACS escalators'!G85)+'ACS escalators'!L85)</f>
        <v/>
      </c>
      <c r="I83" s="294" t="str">
        <f>IF(H83="","",H83*(1+Input!$H$23)*(1-'ACS escalators'!H85)+'ACS escalators'!M85)</f>
        <v/>
      </c>
      <c r="J83" s="283"/>
      <c r="K83" s="295" t="str">
        <f t="shared" si="7"/>
        <v/>
      </c>
      <c r="L83" s="296" t="str">
        <f t="shared" si="6"/>
        <v/>
      </c>
    </row>
    <row r="84" spans="1:12" x14ac:dyDescent="0.2">
      <c r="A84" s="290">
        <v>79</v>
      </c>
      <c r="B84" s="297" t="str">
        <f>IF('ACS escalators'!B86="","",'ACS escalators'!B86)</f>
        <v/>
      </c>
      <c r="C84" s="283" t="str">
        <f>IF('ACS escalators'!C86="","",'ACS escalators'!C86)</f>
        <v/>
      </c>
      <c r="D84" s="283" t="str">
        <f>IF('ACS escalators'!D86="","",'ACS escalators'!D86)</f>
        <v/>
      </c>
      <c r="E84" s="340"/>
      <c r="F84" s="293" t="str">
        <f>IF(E84="","",E84*(1+Input!$H$20)*(1-'ACS escalators'!E86)+'ACS escalators'!J86)</f>
        <v/>
      </c>
      <c r="G84" s="293" t="str">
        <f>IF(F84="","",F84*(1+Input!$H$21)*(1-'ACS escalators'!F86)+'ACS escalators'!K86)</f>
        <v/>
      </c>
      <c r="H84" s="293" t="str">
        <f>IF(G84="","",G84*(1+Input!$H$22)*(1-'ACS escalators'!G86)+'ACS escalators'!L86)</f>
        <v/>
      </c>
      <c r="I84" s="294" t="str">
        <f>IF(H84="","",H84*(1+Input!$H$23)*(1-'ACS escalators'!H86)+'ACS escalators'!M86)</f>
        <v/>
      </c>
      <c r="J84" s="283"/>
      <c r="K84" s="295" t="str">
        <f t="shared" si="7"/>
        <v/>
      </c>
      <c r="L84" s="296" t="str">
        <f t="shared" si="6"/>
        <v/>
      </c>
    </row>
    <row r="85" spans="1:12" x14ac:dyDescent="0.2">
      <c r="A85" s="290">
        <v>80</v>
      </c>
      <c r="B85" s="297" t="str">
        <f>IF('ACS escalators'!B87="","",'ACS escalators'!B87)</f>
        <v/>
      </c>
      <c r="C85" s="283" t="str">
        <f>IF('ACS escalators'!C87="","",'ACS escalators'!C87)</f>
        <v/>
      </c>
      <c r="D85" s="283" t="str">
        <f>IF('ACS escalators'!D87="","",'ACS escalators'!D87)</f>
        <v/>
      </c>
      <c r="E85" s="340"/>
      <c r="F85" s="293" t="str">
        <f>IF(E85="","",E85*(1+Input!$H$20)*(1-'ACS escalators'!E87)+'ACS escalators'!J87)</f>
        <v/>
      </c>
      <c r="G85" s="293" t="str">
        <f>IF(F85="","",F85*(1+Input!$H$21)*(1-'ACS escalators'!F87)+'ACS escalators'!K87)</f>
        <v/>
      </c>
      <c r="H85" s="293" t="str">
        <f>IF(G85="","",G85*(1+Input!$H$22)*(1-'ACS escalators'!G87)+'ACS escalators'!L87)</f>
        <v/>
      </c>
      <c r="I85" s="294" t="str">
        <f>IF(H85="","",H85*(1+Input!$H$23)*(1-'ACS escalators'!H87)+'ACS escalators'!M87)</f>
        <v/>
      </c>
      <c r="J85" s="283"/>
      <c r="K85" s="295" t="str">
        <f t="shared" si="7"/>
        <v/>
      </c>
      <c r="L85" s="296" t="str">
        <f t="shared" si="6"/>
        <v/>
      </c>
    </row>
    <row r="86" spans="1:12" x14ac:dyDescent="0.2">
      <c r="A86" s="290">
        <v>81</v>
      </c>
      <c r="B86" s="297" t="str">
        <f>IF('ACS escalators'!B88="","",'ACS escalators'!B88)</f>
        <v/>
      </c>
      <c r="C86" s="283" t="str">
        <f>IF('ACS escalators'!C88="","",'ACS escalators'!C88)</f>
        <v/>
      </c>
      <c r="D86" s="283" t="str">
        <f>IF('ACS escalators'!D88="","",'ACS escalators'!D88)</f>
        <v/>
      </c>
      <c r="E86" s="340"/>
      <c r="F86" s="293" t="str">
        <f>IF(E86="","",E86*(1+Input!$H$20)*(1-'ACS escalators'!E88)+'ACS escalators'!J88)</f>
        <v/>
      </c>
      <c r="G86" s="293" t="str">
        <f>IF(F86="","",F86*(1+Input!$H$21)*(1-'ACS escalators'!F88)+'ACS escalators'!K88)</f>
        <v/>
      </c>
      <c r="H86" s="293" t="str">
        <f>IF(G86="","",G86*(1+Input!$H$22)*(1-'ACS escalators'!G88)+'ACS escalators'!L88)</f>
        <v/>
      </c>
      <c r="I86" s="294" t="str">
        <f>IF(H86="","",H86*(1+Input!$H$23)*(1-'ACS escalators'!H88)+'ACS escalators'!M88)</f>
        <v/>
      </c>
      <c r="J86" s="283"/>
      <c r="K86" s="295" t="str">
        <f t="shared" si="7"/>
        <v/>
      </c>
      <c r="L86" s="296" t="str">
        <f t="shared" si="6"/>
        <v/>
      </c>
    </row>
    <row r="87" spans="1:12" x14ac:dyDescent="0.2">
      <c r="A87" s="290">
        <v>82</v>
      </c>
      <c r="B87" s="297" t="str">
        <f>IF('ACS escalators'!B89="","",'ACS escalators'!B89)</f>
        <v/>
      </c>
      <c r="C87" s="283" t="str">
        <f>IF('ACS escalators'!C89="","",'ACS escalators'!C89)</f>
        <v/>
      </c>
      <c r="D87" s="283" t="str">
        <f>IF('ACS escalators'!D89="","",'ACS escalators'!D89)</f>
        <v/>
      </c>
      <c r="E87" s="340"/>
      <c r="F87" s="293" t="str">
        <f>IF(E87="","",E87*(1+Input!$H$20)*(1-'ACS escalators'!E89)+'ACS escalators'!J89)</f>
        <v/>
      </c>
      <c r="G87" s="293" t="str">
        <f>IF(F87="","",F87*(1+Input!$H$21)*(1-'ACS escalators'!F89)+'ACS escalators'!K89)</f>
        <v/>
      </c>
      <c r="H87" s="293" t="str">
        <f>IF(G87="","",G87*(1+Input!$H$22)*(1-'ACS escalators'!G89)+'ACS escalators'!L89)</f>
        <v/>
      </c>
      <c r="I87" s="294" t="str">
        <f>IF(H87="","",H87*(1+Input!$H$23)*(1-'ACS escalators'!H89)+'ACS escalators'!M89)</f>
        <v/>
      </c>
      <c r="J87" s="283"/>
      <c r="K87" s="295" t="str">
        <f t="shared" si="7"/>
        <v/>
      </c>
      <c r="L87" s="296" t="str">
        <f t="shared" si="6"/>
        <v/>
      </c>
    </row>
    <row r="88" spans="1:12" x14ac:dyDescent="0.2">
      <c r="A88" s="290">
        <v>83</v>
      </c>
      <c r="B88" s="297" t="str">
        <f>IF('ACS escalators'!B90="","",'ACS escalators'!B90)</f>
        <v/>
      </c>
      <c r="C88" s="283" t="str">
        <f>IF('ACS escalators'!C90="","",'ACS escalators'!C90)</f>
        <v/>
      </c>
      <c r="D88" s="283" t="str">
        <f>IF('ACS escalators'!D90="","",'ACS escalators'!D90)</f>
        <v/>
      </c>
      <c r="E88" s="340"/>
      <c r="F88" s="293" t="str">
        <f>IF(E88="","",E88*(1+Input!$H$20)*(1-'ACS escalators'!E90)+'ACS escalators'!J90)</f>
        <v/>
      </c>
      <c r="G88" s="293" t="str">
        <f>IF(F88="","",F88*(1+Input!$H$21)*(1-'ACS escalators'!F90)+'ACS escalators'!K90)</f>
        <v/>
      </c>
      <c r="H88" s="293" t="str">
        <f>IF(G88="","",G88*(1+Input!$H$22)*(1-'ACS escalators'!G90)+'ACS escalators'!L90)</f>
        <v/>
      </c>
      <c r="I88" s="294" t="str">
        <f>IF(H88="","",H88*(1+Input!$H$23)*(1-'ACS escalators'!H90)+'ACS escalators'!M90)</f>
        <v/>
      </c>
      <c r="J88" s="283"/>
      <c r="K88" s="295" t="str">
        <f t="shared" si="7"/>
        <v/>
      </c>
      <c r="L88" s="296" t="str">
        <f t="shared" si="6"/>
        <v/>
      </c>
    </row>
    <row r="89" spans="1:12" x14ac:dyDescent="0.2">
      <c r="A89" s="290">
        <v>84</v>
      </c>
      <c r="B89" s="297" t="str">
        <f>IF('ACS escalators'!B91="","",'ACS escalators'!B91)</f>
        <v/>
      </c>
      <c r="C89" s="283" t="str">
        <f>IF('ACS escalators'!C91="","",'ACS escalators'!C91)</f>
        <v/>
      </c>
      <c r="D89" s="283" t="str">
        <f>IF('ACS escalators'!D91="","",'ACS escalators'!D91)</f>
        <v/>
      </c>
      <c r="E89" s="340"/>
      <c r="F89" s="293" t="str">
        <f>IF(E89="","",E89*(1+Input!$H$20)*(1-'ACS escalators'!E91)+'ACS escalators'!J91)</f>
        <v/>
      </c>
      <c r="G89" s="293" t="str">
        <f>IF(F89="","",F89*(1+Input!$H$21)*(1-'ACS escalators'!F91)+'ACS escalators'!K91)</f>
        <v/>
      </c>
      <c r="H89" s="293" t="str">
        <f>IF(G89="","",G89*(1+Input!$H$22)*(1-'ACS escalators'!G91)+'ACS escalators'!L91)</f>
        <v/>
      </c>
      <c r="I89" s="294" t="str">
        <f>IF(H89="","",H89*(1+Input!$H$23)*(1-'ACS escalators'!H91)+'ACS escalators'!M91)</f>
        <v/>
      </c>
      <c r="J89" s="283"/>
      <c r="K89" s="295" t="str">
        <f t="shared" si="7"/>
        <v/>
      </c>
      <c r="L89" s="296" t="str">
        <f t="shared" si="6"/>
        <v/>
      </c>
    </row>
    <row r="90" spans="1:12" x14ac:dyDescent="0.2">
      <c r="A90" s="290">
        <v>85</v>
      </c>
      <c r="B90" s="297" t="str">
        <f>IF('ACS escalators'!B92="","",'ACS escalators'!B92)</f>
        <v/>
      </c>
      <c r="C90" s="283" t="str">
        <f>IF('ACS escalators'!C92="","",'ACS escalators'!C92)</f>
        <v/>
      </c>
      <c r="D90" s="283" t="str">
        <f>IF('ACS escalators'!D92="","",'ACS escalators'!D92)</f>
        <v/>
      </c>
      <c r="E90" s="340"/>
      <c r="F90" s="293" t="str">
        <f>IF(E90="","",E90*(1+Input!$H$20)*(1-'ACS escalators'!E92)+'ACS escalators'!J92)</f>
        <v/>
      </c>
      <c r="G90" s="293" t="str">
        <f>IF(F90="","",F90*(1+Input!$H$21)*(1-'ACS escalators'!F92)+'ACS escalators'!K92)</f>
        <v/>
      </c>
      <c r="H90" s="293" t="str">
        <f>IF(G90="","",G90*(1+Input!$H$22)*(1-'ACS escalators'!G92)+'ACS escalators'!L92)</f>
        <v/>
      </c>
      <c r="I90" s="294" t="str">
        <f>IF(H90="","",H90*(1+Input!$H$23)*(1-'ACS escalators'!H92)+'ACS escalators'!M92)</f>
        <v/>
      </c>
      <c r="J90" s="283"/>
      <c r="K90" s="295" t="str">
        <f t="shared" si="7"/>
        <v/>
      </c>
      <c r="L90" s="296" t="str">
        <f t="shared" si="6"/>
        <v/>
      </c>
    </row>
    <row r="91" spans="1:12" x14ac:dyDescent="0.2">
      <c r="A91" s="290">
        <v>86</v>
      </c>
      <c r="B91" s="297" t="str">
        <f>IF('ACS escalators'!B93="","",'ACS escalators'!B93)</f>
        <v/>
      </c>
      <c r="C91" s="283" t="str">
        <f>IF('ACS escalators'!C93="","",'ACS escalators'!C93)</f>
        <v/>
      </c>
      <c r="D91" s="283" t="str">
        <f>IF('ACS escalators'!D93="","",'ACS escalators'!D93)</f>
        <v/>
      </c>
      <c r="E91" s="340"/>
      <c r="F91" s="293" t="str">
        <f>IF(E91="","",E91*(1+Input!$H$20)*(1-'ACS escalators'!E93)+'ACS escalators'!J93)</f>
        <v/>
      </c>
      <c r="G91" s="293" t="str">
        <f>IF(F91="","",F91*(1+Input!$H$21)*(1-'ACS escalators'!F93)+'ACS escalators'!K93)</f>
        <v/>
      </c>
      <c r="H91" s="293" t="str">
        <f>IF(G91="","",G91*(1+Input!$H$22)*(1-'ACS escalators'!G93)+'ACS escalators'!L93)</f>
        <v/>
      </c>
      <c r="I91" s="294" t="str">
        <f>IF(H91="","",H91*(1+Input!$H$23)*(1-'ACS escalators'!H93)+'ACS escalators'!M93)</f>
        <v/>
      </c>
      <c r="J91" s="283"/>
      <c r="K91" s="295" t="str">
        <f t="shared" si="7"/>
        <v/>
      </c>
      <c r="L91" s="296" t="str">
        <f t="shared" si="6"/>
        <v/>
      </c>
    </row>
    <row r="92" spans="1:12" x14ac:dyDescent="0.2">
      <c r="A92" s="290">
        <v>87</v>
      </c>
      <c r="B92" s="297" t="str">
        <f>IF('ACS escalators'!B94="","",'ACS escalators'!B94)</f>
        <v/>
      </c>
      <c r="C92" s="283" t="str">
        <f>IF('ACS escalators'!C94="","",'ACS escalators'!C94)</f>
        <v/>
      </c>
      <c r="D92" s="283" t="str">
        <f>IF('ACS escalators'!D94="","",'ACS escalators'!D94)</f>
        <v/>
      </c>
      <c r="E92" s="340"/>
      <c r="F92" s="293" t="str">
        <f>IF(E92="","",E92*(1+Input!$H$20)*(1-'ACS escalators'!E94)+'ACS escalators'!J94)</f>
        <v/>
      </c>
      <c r="G92" s="293" t="str">
        <f>IF(F92="","",F92*(1+Input!$H$21)*(1-'ACS escalators'!F94)+'ACS escalators'!K94)</f>
        <v/>
      </c>
      <c r="H92" s="293" t="str">
        <f>IF(G92="","",G92*(1+Input!$H$22)*(1-'ACS escalators'!G94)+'ACS escalators'!L94)</f>
        <v/>
      </c>
      <c r="I92" s="294" t="str">
        <f>IF(H92="","",H92*(1+Input!$H$23)*(1-'ACS escalators'!H94)+'ACS escalators'!M94)</f>
        <v/>
      </c>
      <c r="J92" s="283"/>
      <c r="K92" s="295" t="str">
        <f t="shared" si="7"/>
        <v/>
      </c>
      <c r="L92" s="296" t="str">
        <f t="shared" si="6"/>
        <v/>
      </c>
    </row>
    <row r="93" spans="1:12" x14ac:dyDescent="0.2">
      <c r="A93" s="290">
        <v>88</v>
      </c>
      <c r="B93" s="297" t="str">
        <f>IF('ACS escalators'!B95="","",'ACS escalators'!B95)</f>
        <v/>
      </c>
      <c r="C93" s="283" t="str">
        <f>IF('ACS escalators'!C95="","",'ACS escalators'!C95)</f>
        <v/>
      </c>
      <c r="D93" s="283" t="str">
        <f>IF('ACS escalators'!D95="","",'ACS escalators'!D95)</f>
        <v/>
      </c>
      <c r="E93" s="340"/>
      <c r="F93" s="293" t="str">
        <f>IF(E93="","",E93*(1+Input!$H$20)*(1-'ACS escalators'!E95)+'ACS escalators'!J95)</f>
        <v/>
      </c>
      <c r="G93" s="293" t="str">
        <f>IF(F93="","",F93*(1+Input!$H$21)*(1-'ACS escalators'!F95)+'ACS escalators'!K95)</f>
        <v/>
      </c>
      <c r="H93" s="293" t="str">
        <f>IF(G93="","",G93*(1+Input!$H$22)*(1-'ACS escalators'!G95)+'ACS escalators'!L95)</f>
        <v/>
      </c>
      <c r="I93" s="294" t="str">
        <f>IF(H93="","",H93*(1+Input!$H$23)*(1-'ACS escalators'!H95)+'ACS escalators'!M95)</f>
        <v/>
      </c>
      <c r="J93" s="283"/>
      <c r="K93" s="295" t="str">
        <f t="shared" si="7"/>
        <v/>
      </c>
      <c r="L93" s="296" t="str">
        <f t="shared" si="6"/>
        <v/>
      </c>
    </row>
    <row r="94" spans="1:12" x14ac:dyDescent="0.2">
      <c r="A94" s="290">
        <v>89</v>
      </c>
      <c r="B94" s="297" t="str">
        <f>IF('ACS escalators'!B96="","",'ACS escalators'!B96)</f>
        <v/>
      </c>
      <c r="C94" s="283" t="str">
        <f>IF('ACS escalators'!C96="","",'ACS escalators'!C96)</f>
        <v/>
      </c>
      <c r="D94" s="283" t="str">
        <f>IF('ACS escalators'!D96="","",'ACS escalators'!D96)</f>
        <v/>
      </c>
      <c r="E94" s="340"/>
      <c r="F94" s="293" t="str">
        <f>IF(E94="","",E94*(1+Input!$H$20)*(1-'ACS escalators'!E96)+'ACS escalators'!J96)</f>
        <v/>
      </c>
      <c r="G94" s="293" t="str">
        <f>IF(F94="","",F94*(1+Input!$H$21)*(1-'ACS escalators'!F96)+'ACS escalators'!K96)</f>
        <v/>
      </c>
      <c r="H94" s="293" t="str">
        <f>IF(G94="","",G94*(1+Input!$H$22)*(1-'ACS escalators'!G96)+'ACS escalators'!L96)</f>
        <v/>
      </c>
      <c r="I94" s="294" t="str">
        <f>IF(H94="","",H94*(1+Input!$H$23)*(1-'ACS escalators'!H96)+'ACS escalators'!M96)</f>
        <v/>
      </c>
      <c r="J94" s="283"/>
      <c r="K94" s="295" t="str">
        <f t="shared" si="7"/>
        <v/>
      </c>
      <c r="L94" s="296" t="str">
        <f t="shared" si="6"/>
        <v/>
      </c>
    </row>
    <row r="95" spans="1:12" x14ac:dyDescent="0.2">
      <c r="A95" s="290">
        <v>90</v>
      </c>
      <c r="B95" s="297" t="str">
        <f>IF('ACS escalators'!B97="","",'ACS escalators'!B97)</f>
        <v/>
      </c>
      <c r="C95" s="283" t="str">
        <f>IF('ACS escalators'!C97="","",'ACS escalators'!C97)</f>
        <v/>
      </c>
      <c r="D95" s="283" t="str">
        <f>IF('ACS escalators'!D97="","",'ACS escalators'!D97)</f>
        <v/>
      </c>
      <c r="E95" s="340"/>
      <c r="F95" s="293" t="str">
        <f>IF(E95="","",E95*(1+Input!$H$20)*(1-'ACS escalators'!E97)+'ACS escalators'!J97)</f>
        <v/>
      </c>
      <c r="G95" s="293" t="str">
        <f>IF(F95="","",F95*(1+Input!$H$21)*(1-'ACS escalators'!F97)+'ACS escalators'!K97)</f>
        <v/>
      </c>
      <c r="H95" s="293" t="str">
        <f>IF(G95="","",G95*(1+Input!$H$22)*(1-'ACS escalators'!G97)+'ACS escalators'!L97)</f>
        <v/>
      </c>
      <c r="I95" s="294" t="str">
        <f>IF(H95="","",H95*(1+Input!$H$23)*(1-'ACS escalators'!H97)+'ACS escalators'!M97)</f>
        <v/>
      </c>
      <c r="J95" s="283"/>
      <c r="K95" s="295" t="str">
        <f t="shared" si="7"/>
        <v/>
      </c>
      <c r="L95" s="296" t="str">
        <f t="shared" si="6"/>
        <v/>
      </c>
    </row>
    <row r="96" spans="1:12" x14ac:dyDescent="0.2">
      <c r="A96" s="290">
        <v>91</v>
      </c>
      <c r="B96" s="297" t="str">
        <f>IF('ACS escalators'!B98="","",'ACS escalators'!B98)</f>
        <v/>
      </c>
      <c r="C96" s="283" t="str">
        <f>IF('ACS escalators'!C98="","",'ACS escalators'!C98)</f>
        <v/>
      </c>
      <c r="D96" s="283" t="str">
        <f>IF('ACS escalators'!D98="","",'ACS escalators'!D98)</f>
        <v/>
      </c>
      <c r="E96" s="340"/>
      <c r="F96" s="293" t="str">
        <f>IF(E96="","",E96*(1+Input!$H$20)*(1-'ACS escalators'!E98)+'ACS escalators'!J98)</f>
        <v/>
      </c>
      <c r="G96" s="293" t="str">
        <f>IF(F96="","",F96*(1+Input!$H$21)*(1-'ACS escalators'!F98)+'ACS escalators'!K98)</f>
        <v/>
      </c>
      <c r="H96" s="293" t="str">
        <f>IF(G96="","",G96*(1+Input!$H$22)*(1-'ACS escalators'!G98)+'ACS escalators'!L98)</f>
        <v/>
      </c>
      <c r="I96" s="294" t="str">
        <f>IF(H96="","",H96*(1+Input!$H$23)*(1-'ACS escalators'!H98)+'ACS escalators'!M98)</f>
        <v/>
      </c>
      <c r="J96" s="283"/>
      <c r="K96" s="295" t="str">
        <f t="shared" si="7"/>
        <v/>
      </c>
      <c r="L96" s="296" t="str">
        <f t="shared" si="6"/>
        <v/>
      </c>
    </row>
    <row r="97" spans="1:12" x14ac:dyDescent="0.2">
      <c r="A97" s="290">
        <v>92</v>
      </c>
      <c r="B97" s="297" t="str">
        <f>IF('ACS escalators'!B99="","",'ACS escalators'!B99)</f>
        <v/>
      </c>
      <c r="C97" s="283" t="str">
        <f>IF('ACS escalators'!C99="","",'ACS escalators'!C99)</f>
        <v/>
      </c>
      <c r="D97" s="283" t="str">
        <f>IF('ACS escalators'!D99="","",'ACS escalators'!D99)</f>
        <v/>
      </c>
      <c r="E97" s="340"/>
      <c r="F97" s="293" t="str">
        <f>IF(E97="","",E97*(1+Input!$H$20)*(1-'ACS escalators'!E99)+'ACS escalators'!J99)</f>
        <v/>
      </c>
      <c r="G97" s="293" t="str">
        <f>IF(F97="","",F97*(1+Input!$H$21)*(1-'ACS escalators'!F99)+'ACS escalators'!K99)</f>
        <v/>
      </c>
      <c r="H97" s="293" t="str">
        <f>IF(G97="","",G97*(1+Input!$H$22)*(1-'ACS escalators'!G99)+'ACS escalators'!L99)</f>
        <v/>
      </c>
      <c r="I97" s="294" t="str">
        <f>IF(H97="","",H97*(1+Input!$H$23)*(1-'ACS escalators'!H99)+'ACS escalators'!M99)</f>
        <v/>
      </c>
      <c r="J97" s="283"/>
      <c r="K97" s="295" t="str">
        <f t="shared" si="7"/>
        <v/>
      </c>
      <c r="L97" s="296" t="str">
        <f t="shared" si="6"/>
        <v/>
      </c>
    </row>
    <row r="98" spans="1:12" x14ac:dyDescent="0.2">
      <c r="A98" s="290">
        <v>93</v>
      </c>
      <c r="B98" s="297" t="str">
        <f>IF('ACS escalators'!B100="","",'ACS escalators'!B100)</f>
        <v/>
      </c>
      <c r="C98" s="283" t="str">
        <f>IF('ACS escalators'!C100="","",'ACS escalators'!C100)</f>
        <v/>
      </c>
      <c r="D98" s="283" t="str">
        <f>IF('ACS escalators'!D100="","",'ACS escalators'!D100)</f>
        <v/>
      </c>
      <c r="E98" s="340"/>
      <c r="F98" s="293" t="str">
        <f>IF(E98="","",E98*(1+Input!$H$20)*(1-'ACS escalators'!E100)+'ACS escalators'!J100)</f>
        <v/>
      </c>
      <c r="G98" s="293" t="str">
        <f>IF(F98="","",F98*(1+Input!$H$21)*(1-'ACS escalators'!F100)+'ACS escalators'!K100)</f>
        <v/>
      </c>
      <c r="H98" s="293" t="str">
        <f>IF(G98="","",G98*(1+Input!$H$22)*(1-'ACS escalators'!G100)+'ACS escalators'!L100)</f>
        <v/>
      </c>
      <c r="I98" s="294" t="str">
        <f>IF(H98="","",H98*(1+Input!$H$23)*(1-'ACS escalators'!H100)+'ACS escalators'!M100)</f>
        <v/>
      </c>
      <c r="J98" s="283"/>
      <c r="K98" s="295" t="str">
        <f t="shared" si="7"/>
        <v/>
      </c>
      <c r="L98" s="296" t="str">
        <f t="shared" si="6"/>
        <v/>
      </c>
    </row>
    <row r="99" spans="1:12" x14ac:dyDescent="0.2">
      <c r="A99" s="290">
        <v>94</v>
      </c>
      <c r="B99" s="297" t="str">
        <f>IF('ACS escalators'!B101="","",'ACS escalators'!B101)</f>
        <v/>
      </c>
      <c r="C99" s="283" t="str">
        <f>IF('ACS escalators'!C101="","",'ACS escalators'!C101)</f>
        <v/>
      </c>
      <c r="D99" s="283" t="str">
        <f>IF('ACS escalators'!D101="","",'ACS escalators'!D101)</f>
        <v/>
      </c>
      <c r="E99" s="340"/>
      <c r="F99" s="293" t="str">
        <f>IF(E99="","",E99*(1+Input!$H$20)*(1-'ACS escalators'!E101)+'ACS escalators'!J101)</f>
        <v/>
      </c>
      <c r="G99" s="293" t="str">
        <f>IF(F99="","",F99*(1+Input!$H$21)*(1-'ACS escalators'!F101)+'ACS escalators'!K101)</f>
        <v/>
      </c>
      <c r="H99" s="293" t="str">
        <f>IF(G99="","",G99*(1+Input!$H$22)*(1-'ACS escalators'!G101)+'ACS escalators'!L101)</f>
        <v/>
      </c>
      <c r="I99" s="294" t="str">
        <f>IF(H99="","",H99*(1+Input!$H$23)*(1-'ACS escalators'!H101)+'ACS escalators'!M101)</f>
        <v/>
      </c>
      <c r="J99" s="283"/>
      <c r="K99" s="295" t="str">
        <f t="shared" si="7"/>
        <v/>
      </c>
      <c r="L99" s="296" t="str">
        <f t="shared" si="6"/>
        <v/>
      </c>
    </row>
    <row r="100" spans="1:12" ht="13.5" thickBot="1" x14ac:dyDescent="0.25">
      <c r="A100" s="290">
        <v>95</v>
      </c>
      <c r="B100" s="298" t="str">
        <f>IF('ACS escalators'!B102="","",'ACS escalators'!B102)</f>
        <v/>
      </c>
      <c r="C100" s="284" t="str">
        <f>IF('ACS escalators'!C102="","",'ACS escalators'!C102)</f>
        <v/>
      </c>
      <c r="D100" s="284" t="str">
        <f>IF('ACS escalators'!D102="","",'ACS escalators'!D102)</f>
        <v/>
      </c>
      <c r="E100" s="341"/>
      <c r="F100" s="299" t="str">
        <f>IF(E100="","",E100*(1+Input!$H$20)*(1-'ACS escalators'!E102)+'ACS escalators'!J102)</f>
        <v/>
      </c>
      <c r="G100" s="299" t="str">
        <f>IF(F100="","",F100*(1+Input!$H$21)*(1-'ACS escalators'!F102)+'ACS escalators'!K102)</f>
        <v/>
      </c>
      <c r="H100" s="299" t="str">
        <f>IF(G100="","",G100*(1+Input!$H$22)*(1-'ACS escalators'!G102)+'ACS escalators'!L102)</f>
        <v/>
      </c>
      <c r="I100" s="300" t="str">
        <f>IF(H100="","",H100*(1+Input!$H$23)*(1-'ACS escalators'!H102)+'ACS escalators'!M102)</f>
        <v/>
      </c>
      <c r="J100" s="284"/>
      <c r="K100" s="301" t="str">
        <f t="shared" si="7"/>
        <v/>
      </c>
      <c r="L100" s="302" t="str">
        <f t="shared" si="6"/>
        <v/>
      </c>
    </row>
  </sheetData>
  <conditionalFormatting sqref="L6:L100">
    <cfRule type="cellIs" dxfId="5" priority="7" operator="equal">
      <formula>"NO"</formula>
    </cfRule>
    <cfRule type="cellIs" dxfId="4" priority="8" operator="equal">
      <formula>"YES"</formula>
    </cfRule>
  </conditionalFormatting>
  <conditionalFormatting sqref="X27:X60">
    <cfRule type="cellIs" dxfId="3" priority="1" operator="equal">
      <formula>"NO"</formula>
    </cfRule>
    <cfRule type="cellIs" dxfId="2" priority="2" operator="equal">
      <formula>"YES"</formula>
    </cfRule>
  </conditionalFormatting>
  <conditionalFormatting sqref="X6:X20">
    <cfRule type="cellIs" dxfId="1" priority="3" operator="equal">
      <formula>"NO"</formula>
    </cfRule>
    <cfRule type="cellIs" dxfId="0" priority="4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Pricing TAM</vt:lpstr>
      <vt:lpstr>Mechanisms</vt:lpstr>
      <vt:lpstr>Input</vt:lpstr>
      <vt:lpstr>Metering</vt:lpstr>
      <vt:lpstr>ACS escalators</vt:lpstr>
      <vt:lpstr>ACS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2021-05-24T04:14:43Z</dcterms:created>
  <dcterms:modified xsi:type="dcterms:W3CDTF">2021-05-24T04:14:49Z</dcterms:modified>
</cp:coreProperties>
</file>